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Administrator\Downloads\"/>
    </mc:Choice>
  </mc:AlternateContent>
  <xr:revisionPtr revIDLastSave="0" documentId="13_ncr:1_{1DA69C1A-8516-4D4D-B524-012DC303F258}" xr6:coauthVersionLast="47" xr6:coauthVersionMax="47" xr10:uidLastSave="{00000000-0000-0000-0000-000000000000}"/>
  <bookViews>
    <workbookView xWindow="-120" yWindow="-120" windowWidth="29040" windowHeight="15720" tabRatio="825" activeTab="4" xr2:uid="{00000000-000D-0000-FFFF-FFFF00000000}"/>
  </bookViews>
  <sheets>
    <sheet name="Common Size Calculations" sheetId="11" r:id="rId1"/>
    <sheet name="Internal - Simple" sheetId="8" r:id="rId2"/>
    <sheet name="INTERNAL - Detail" sheetId="4" r:id="rId3"/>
    <sheet name="External - Simple" sheetId="10" r:id="rId4"/>
    <sheet name="Chipload" sheetId="14" r:id="rId5"/>
    <sheet name="External - Detail" sheetId="7" r:id="rId6"/>
    <sheet name="NPT Internal" sheetId="12" r:id="rId7"/>
    <sheet name="NPT External" sheetId="13" r:id="rId8"/>
    <sheet name="Threadmill Crest" sheetId="5" r:id="rId9"/>
    <sheet name="Thread Profile Graphic" sheetId="6" r:id="rId10"/>
    <sheet name="Large or Custom Diameter" sheetId="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4" l="1"/>
  <c r="C6" i="14"/>
  <c r="C21" i="13"/>
  <c r="C20" i="12"/>
  <c r="D10" i="4" l="1"/>
  <c r="C20" i="13" l="1"/>
  <c r="C19" i="13" s="1"/>
  <c r="C15" i="13" l="1"/>
  <c r="H3" i="13" s="1"/>
  <c r="H4" i="13"/>
  <c r="D11" i="13" l="1"/>
  <c r="E47" i="11"/>
  <c r="E46" i="11"/>
  <c r="E45" i="11"/>
  <c r="E44" i="11"/>
  <c r="E43" i="11"/>
  <c r="E42" i="11"/>
  <c r="E41" i="11"/>
  <c r="E40" i="11"/>
  <c r="E39" i="11"/>
  <c r="E38" i="11"/>
  <c r="E37" i="11"/>
  <c r="E35" i="11"/>
  <c r="E34" i="11"/>
  <c r="E33" i="11"/>
  <c r="E36" i="11"/>
  <c r="H4" i="12" l="1"/>
  <c r="C14" i="12"/>
  <c r="H3" i="12" s="1"/>
  <c r="C19" i="12"/>
  <c r="C18" i="12" s="1"/>
  <c r="D10" i="12" l="1"/>
  <c r="E28" i="11" l="1"/>
  <c r="F28" i="11" s="1"/>
  <c r="E27" i="11"/>
  <c r="F27" i="11" s="1"/>
  <c r="E26" i="11"/>
  <c r="F26" i="11" s="1"/>
  <c r="E25" i="11"/>
  <c r="F25" i="11" s="1"/>
  <c r="E24" i="11"/>
  <c r="F24" i="11" s="1"/>
  <c r="E23" i="11"/>
  <c r="F23" i="11" s="1"/>
  <c r="E22" i="11"/>
  <c r="F22" i="11" s="1"/>
  <c r="E21" i="11"/>
  <c r="F21" i="11" s="1"/>
  <c r="E20" i="11"/>
  <c r="F20" i="11" s="1"/>
  <c r="E19" i="11"/>
  <c r="F19" i="11" s="1"/>
  <c r="E18" i="11"/>
  <c r="F18" i="11" s="1"/>
  <c r="E17" i="11"/>
  <c r="F17" i="11" s="1"/>
  <c r="E16" i="11"/>
  <c r="F16" i="11" s="1"/>
  <c r="E15" i="11"/>
  <c r="F15" i="11" s="1"/>
  <c r="E14" i="11"/>
  <c r="F14" i="11" s="1"/>
  <c r="G14" i="11"/>
  <c r="C47" i="11"/>
  <c r="C46" i="11"/>
  <c r="C45" i="11"/>
  <c r="C44" i="11"/>
  <c r="C43" i="11"/>
  <c r="C42" i="11"/>
  <c r="C41" i="11"/>
  <c r="C40" i="11"/>
  <c r="C39" i="11"/>
  <c r="C38" i="11"/>
  <c r="C37" i="11"/>
  <c r="C36" i="11"/>
  <c r="C35" i="11"/>
  <c r="C34" i="11"/>
  <c r="F35" i="11"/>
  <c r="C33" i="11"/>
  <c r="F33" i="11"/>
  <c r="G33" i="11"/>
  <c r="G34" i="11" s="1"/>
  <c r="H9" i="11"/>
  <c r="H7" i="11"/>
  <c r="F47" i="11"/>
  <c r="F46" i="11"/>
  <c r="F45" i="11"/>
  <c r="F44" i="11"/>
  <c r="F43" i="11"/>
  <c r="F42" i="11"/>
  <c r="F41" i="11"/>
  <c r="F40" i="11"/>
  <c r="F39" i="11"/>
  <c r="F38" i="11"/>
  <c r="F37" i="11"/>
  <c r="F36" i="11"/>
  <c r="F34" i="11"/>
  <c r="G15" i="11" l="1"/>
  <c r="G16" i="11" s="1"/>
  <c r="H34" i="11"/>
  <c r="I34" i="11" s="1"/>
  <c r="G35" i="11"/>
  <c r="H14" i="11"/>
  <c r="I14" i="11" s="1"/>
  <c r="H33" i="11"/>
  <c r="I33" i="11" s="1"/>
  <c r="D20" i="10"/>
  <c r="J30" i="10"/>
  <c r="J31" i="10" s="1"/>
  <c r="J32" i="10" s="1"/>
  <c r="J33" i="10" s="1"/>
  <c r="D18" i="10"/>
  <c r="D31" i="10"/>
  <c r="D32" i="10" s="1"/>
  <c r="D33" i="10" s="1"/>
  <c r="D30" i="10"/>
  <c r="D14" i="10"/>
  <c r="D22" i="10" s="1"/>
  <c r="G17" i="11" l="1"/>
  <c r="H16" i="11"/>
  <c r="I16" i="11" s="1"/>
  <c r="H15" i="11"/>
  <c r="I15" i="11" s="1"/>
  <c r="G36" i="11"/>
  <c r="H36" i="11" s="1"/>
  <c r="H35" i="11"/>
  <c r="I35" i="11" s="1"/>
  <c r="F30" i="10"/>
  <c r="D15" i="8"/>
  <c r="D23" i="8" s="1"/>
  <c r="J31" i="8"/>
  <c r="J32" i="8" s="1"/>
  <c r="J33" i="8" s="1"/>
  <c r="J34" i="8" s="1"/>
  <c r="D32" i="8"/>
  <c r="D33" i="8" s="1"/>
  <c r="D34" i="8" s="1"/>
  <c r="D31" i="8"/>
  <c r="J45" i="4"/>
  <c r="G18" i="11" l="1"/>
  <c r="G19" i="11" s="1"/>
  <c r="H17" i="11"/>
  <c r="I17" i="11" s="1"/>
  <c r="G37" i="11"/>
  <c r="I36" i="11"/>
  <c r="F31" i="10"/>
  <c r="F32" i="10" s="1"/>
  <c r="F33" i="10" s="1"/>
  <c r="F31" i="8"/>
  <c r="D19" i="8" s="1"/>
  <c r="D21" i="8" s="1"/>
  <c r="F32" i="8" s="1"/>
  <c r="F33" i="8" s="1"/>
  <c r="F34" i="8" s="1"/>
  <c r="D22" i="8" s="1"/>
  <c r="D26" i="8" s="1"/>
  <c r="H18" i="11" l="1"/>
  <c r="I18" i="11" s="1"/>
  <c r="H37" i="11"/>
  <c r="I37" i="11" s="1"/>
  <c r="G38" i="11"/>
  <c r="D21" i="10"/>
  <c r="D23" i="10" s="1"/>
  <c r="D24" i="8"/>
  <c r="D46" i="7"/>
  <c r="D47" i="7" s="1"/>
  <c r="D48" i="7" s="1"/>
  <c r="J45" i="7"/>
  <c r="D45" i="7"/>
  <c r="D20" i="7"/>
  <c r="D18" i="7"/>
  <c r="D27" i="7" s="1"/>
  <c r="G20" i="11" l="1"/>
  <c r="H19" i="11"/>
  <c r="I19" i="11" s="1"/>
  <c r="G39" i="11"/>
  <c r="H38" i="11"/>
  <c r="I38" i="11" s="1"/>
  <c r="J46" i="7"/>
  <c r="J47" i="7" s="1"/>
  <c r="J48" i="7" s="1"/>
  <c r="F45" i="7"/>
  <c r="D23" i="7" s="1"/>
  <c r="D25" i="7" s="1"/>
  <c r="C19" i="5"/>
  <c r="G21" i="11" l="1"/>
  <c r="H20" i="11"/>
  <c r="I20" i="11" s="1"/>
  <c r="G40" i="11"/>
  <c r="H39" i="11"/>
  <c r="I39" i="11" s="1"/>
  <c r="F46" i="7"/>
  <c r="F47" i="7" s="1"/>
  <c r="C35" i="3"/>
  <c r="D20" i="4"/>
  <c r="G22" i="11" l="1"/>
  <c r="H21" i="11"/>
  <c r="I21" i="11" s="1"/>
  <c r="G41" i="11"/>
  <c r="H40" i="11"/>
  <c r="I40" i="11" s="1"/>
  <c r="F48" i="7"/>
  <c r="D26" i="7" s="1"/>
  <c r="C34" i="3"/>
  <c r="G20" i="3" s="1"/>
  <c r="D18" i="4"/>
  <c r="D27" i="4" s="1"/>
  <c r="G23" i="11" l="1"/>
  <c r="H22" i="11"/>
  <c r="I22" i="11" s="1"/>
  <c r="H41" i="11"/>
  <c r="I41" i="11" s="1"/>
  <c r="G42" i="11"/>
  <c r="D28" i="7"/>
  <c r="G20" i="7" s="1"/>
  <c r="C20" i="3"/>
  <c r="D46" i="4"/>
  <c r="D47" i="4" s="1"/>
  <c r="D48" i="4" s="1"/>
  <c r="D45" i="4"/>
  <c r="F45" i="4" s="1"/>
  <c r="D23" i="4" s="1"/>
  <c r="D25" i="4" s="1"/>
  <c r="G24" i="11" l="1"/>
  <c r="H23" i="11"/>
  <c r="I23" i="11" s="1"/>
  <c r="G43" i="11"/>
  <c r="H42" i="11"/>
  <c r="I42" i="11" s="1"/>
  <c r="J46" i="4"/>
  <c r="J47" i="4" s="1"/>
  <c r="J48" i="4" s="1"/>
  <c r="G25" i="11" l="1"/>
  <c r="H24" i="11"/>
  <c r="I24" i="11" s="1"/>
  <c r="H43" i="11"/>
  <c r="I43" i="11" s="1"/>
  <c r="G44" i="11"/>
  <c r="F46" i="4"/>
  <c r="F47" i="4" s="1"/>
  <c r="F48" i="4" s="1"/>
  <c r="D26" i="4" s="1"/>
  <c r="D28" i="4" s="1"/>
  <c r="G20" i="4" s="1"/>
  <c r="G26" i="11" l="1"/>
  <c r="H25" i="11"/>
  <c r="I25" i="11" s="1"/>
  <c r="G45" i="11"/>
  <c r="H44" i="11"/>
  <c r="I44" i="11" s="1"/>
  <c r="D30" i="4"/>
  <c r="C30" i="3"/>
  <c r="C24" i="3"/>
  <c r="C25" i="3" s="1"/>
  <c r="G19" i="3" s="1"/>
  <c r="G27" i="11" l="1"/>
  <c r="H26" i="11"/>
  <c r="I26" i="11" s="1"/>
  <c r="G46" i="11"/>
  <c r="H45" i="11"/>
  <c r="I45" i="11" s="1"/>
  <c r="C26" i="3"/>
  <c r="C19" i="3" s="1"/>
  <c r="C27" i="3"/>
  <c r="C31" i="3" s="1"/>
  <c r="G28" i="11" l="1"/>
  <c r="H28" i="11" s="1"/>
  <c r="I28" i="11" s="1"/>
  <c r="H27" i="11"/>
  <c r="I27" i="11" s="1"/>
  <c r="G47" i="11"/>
  <c r="H47" i="11" s="1"/>
  <c r="I47" i="11" s="1"/>
  <c r="H46" i="11"/>
  <c r="I46" i="11" s="1"/>
  <c r="C18" i="3"/>
  <c r="C21" i="3" s="1"/>
  <c r="C41" i="3" s="1"/>
  <c r="G18" i="3"/>
  <c r="G21" i="3" s="1"/>
</calcChain>
</file>

<file path=xl/sharedStrings.xml><?xml version="1.0" encoding="utf-8"?>
<sst xmlns="http://schemas.openxmlformats.org/spreadsheetml/2006/main" count="425" uniqueCount="198">
  <si>
    <t>Maximum Thread Tolerance</t>
  </si>
  <si>
    <t>Average Thread Tolerance</t>
  </si>
  <si>
    <t>Minimum Thread Tolerance</t>
  </si>
  <si>
    <t>*all dimensions in inches</t>
  </si>
  <si>
    <t>Major Diameter</t>
  </si>
  <si>
    <t>Maximum Minor Diameter</t>
  </si>
  <si>
    <t>Average Minor Diameter</t>
  </si>
  <si>
    <t>Minimum Minor Diameter</t>
  </si>
  <si>
    <t>Actual Thread Height</t>
  </si>
  <si>
    <t>Theoretical Triangle Height</t>
  </si>
  <si>
    <t>Adjustment Amount</t>
  </si>
  <si>
    <t>Cut Depth</t>
  </si>
  <si>
    <t>Thread Class</t>
  </si>
  <si>
    <t>TPI</t>
  </si>
  <si>
    <t>Overall Length of Thread</t>
  </si>
  <si>
    <t>Blue = Input</t>
  </si>
  <si>
    <t>Inputs</t>
  </si>
  <si>
    <t>Threadmill Tool Information</t>
  </si>
  <si>
    <t>Vendor</t>
  </si>
  <si>
    <t>Model</t>
  </si>
  <si>
    <t>Lakeshore Carbide</t>
  </si>
  <si>
    <t>1) Pitch Diameter Offset</t>
  </si>
  <si>
    <t>Standard offset assuming thread mill was perfectly sized and shaped for this TPI</t>
  </si>
  <si>
    <t>2) Adjust P.D.O. Out</t>
  </si>
  <si>
    <t>3) Adjust P.D.O. In</t>
  </si>
  <si>
    <t>Thread Tolerance Calculations</t>
  </si>
  <si>
    <t>1/2L-SPTRMLB</t>
  </si>
  <si>
    <t>Height of Sharp V Thread</t>
  </si>
  <si>
    <t>H</t>
  </si>
  <si>
    <t>Basic Minor Dia. At Small End of Pipe</t>
  </si>
  <si>
    <t>Thread Profile Graphic</t>
  </si>
  <si>
    <t>User Inputs</t>
  </si>
  <si>
    <t>Minor Diameter</t>
  </si>
  <si>
    <t>(Diameter of the drilled hole you plan on milling)</t>
  </si>
  <si>
    <t>Thread Pitch (TPI)</t>
  </si>
  <si>
    <t>FINAL Pitch Diameter Offset</t>
  </si>
  <si>
    <t>Height Missing from Peak of Threadmill</t>
  </si>
  <si>
    <t>Estimated Flat Length of Threadmill</t>
  </si>
  <si>
    <t>Actual Triangle Height</t>
  </si>
  <si>
    <t>Thread Profile Calculations</t>
  </si>
  <si>
    <t>Thread Hole Calculations</t>
  </si>
  <si>
    <t>Threadmill Tool Calculations</t>
  </si>
  <si>
    <t>2) Adjust PDO Out</t>
  </si>
  <si>
    <t>3) Adjust PDO In</t>
  </si>
  <si>
    <t>Thread Mill Cutting Diameter</t>
  </si>
  <si>
    <t>*Machinery's Handbook 30th Edition Pages 1859-1860</t>
  </si>
  <si>
    <t>*Machinery's Handbook 30th Edition Page 1860</t>
  </si>
  <si>
    <t>(The math is the same, but user determined inputs are required instead of data from the Machinery's Handbook)</t>
  </si>
  <si>
    <r>
      <t xml:space="preserve">This sheet is for thread milling a custom sized hole, with a </t>
    </r>
    <r>
      <rPr>
        <b/>
        <i/>
        <u/>
        <sz val="10"/>
        <color rgb="FF000000"/>
        <rFont val="Arial"/>
        <family val="2"/>
      </rPr>
      <t>known thread pitch and minor diameter.</t>
    </r>
  </si>
  <si>
    <t>Example:  4.125" diameter hole threaded a 28 TPI</t>
  </si>
  <si>
    <t>Internal Threadmilling; Hole Modeled as MINOR Diameter</t>
  </si>
  <si>
    <t>Calculations use AVERAGE Minor Diameter</t>
  </si>
  <si>
    <t>SAUNDERS MACHINE WORKS / NYC CNC THREAD MILL CALCULATOR</t>
  </si>
  <si>
    <t>Pitch Diameter Offset is the difference between your Major and Minor thread diameters.  However, because the thread mill tool comes to a near perfect point, we have to expand</t>
  </si>
  <si>
    <t>Explanation of calculations</t>
  </si>
  <si>
    <t>1) Pitch Diameter Offset (P.D.O.)</t>
  </si>
  <si>
    <t>Assumes Thread Mill flutes came to a sharp point</t>
  </si>
  <si>
    <t>Adjusts for *estimated* flat tip of threadmill tool</t>
  </si>
  <si>
    <t xml:space="preserve">this theoretical Major Diameter, in order to  cut deeper. To do this, we expand the Major diameter by 2 times the Adjustment Amount (1 for each side of the thread, </t>
  </si>
  <si>
    <t>Equation</t>
  </si>
  <si>
    <t>Pitch Diameter Offset = [(Theoretical Major Diameter)+(2*AdjustmentAmount)-(2*Height Missing from Thread Mill Peak)]-Minor Diameter</t>
  </si>
  <si>
    <t>Actual Thread Height (aka 1/2 P.D.O)</t>
  </si>
  <si>
    <t>Theoretical Triangle Height (If Thread Came to Sharp Point)</t>
  </si>
  <si>
    <t xml:space="preserve">Adjustment Amount to push tool out </t>
  </si>
  <si>
    <t>Estimated Height Missing from Threadmills</t>
  </si>
  <si>
    <t>Cutting Diameter</t>
  </si>
  <si>
    <t>Tool Name</t>
  </si>
  <si>
    <t>Tormach 34693</t>
  </si>
  <si>
    <t>A.B. Tools TM1/4</t>
  </si>
  <si>
    <t>Lakeshore Carbide 1/2-13TRMLB</t>
  </si>
  <si>
    <t>Lakeshore Carbide 1/2L-SPTRMLB</t>
  </si>
  <si>
    <t>Lakeshore Carbide 3/4L-SPTRMLB</t>
  </si>
  <si>
    <t>Threadmills USA TM87514</t>
  </si>
  <si>
    <t xml:space="preserve">Flat Length </t>
  </si>
  <si>
    <t>Height Missing from Thread Mill</t>
  </si>
  <si>
    <t>Pitch Diameter Offset (Major)</t>
  </si>
  <si>
    <t>Pitch Diameter Offset INTERNAL Thread</t>
  </si>
  <si>
    <t>Pitch Diameter Offset EXTERNAL Thread</t>
  </si>
  <si>
    <t>Tool used for graphic: http://www.lakeshorecarbide.com/12singleprofilethreadmill34loc388cutdia12-32range.aspx</t>
  </si>
  <si>
    <t>Neck Diameter of Thread Mill</t>
  </si>
  <si>
    <t>Tooth Height of Thread Mill</t>
  </si>
  <si>
    <t>Tool Check</t>
  </si>
  <si>
    <t>Pitch Diameter Offset (Minor)</t>
  </si>
  <si>
    <t xml:space="preserve">After expanding the Major Diameter, we shrink it to compensate for the small amount that the tool is actually flat-tipped. This final equation to determine your Pitch Diameter Offset is posted below. </t>
  </si>
  <si>
    <t xml:space="preserve">This will give you your final Pitch Diameter Offset, but keep in mind that there is a tolerance window for the diameter values.   </t>
  </si>
  <si>
    <t xml:space="preserve"> </t>
  </si>
  <si>
    <t>Thread Mill Tooth Height</t>
  </si>
  <si>
    <t>If your final PDO is greater than your tool's Tooth Height, it will break the tool trying to push it into the thread wall.</t>
  </si>
  <si>
    <t>Thread Milll Flat Length ("Crest")</t>
  </si>
  <si>
    <t>Approximate ESTIMATED Flat Length</t>
  </si>
  <si>
    <t>Notice how the cutting diameter is not measured to the peak of the perfect triangle, but to the flat tip</t>
  </si>
  <si>
    <t>Pitch Diameter Offset</t>
  </si>
  <si>
    <t>Internal Thread Profile</t>
  </si>
  <si>
    <t>External Thread Profile</t>
  </si>
  <si>
    <t>The below function checks this for you, if it says your tool is too small do not try to use this tool for this thread. Try a larger tool.</t>
  </si>
  <si>
    <t xml:space="preserve">While the value we need for thread milling is the Height that is missing from 
the peak of the tool, the Length of that flat area is significantly easier to measure. </t>
  </si>
  <si>
    <r>
      <rPr>
        <b/>
        <sz val="10"/>
        <color rgb="FF000000"/>
        <rFont val="Arial"/>
        <family val="2"/>
      </rPr>
      <t>RULE OF THUMB</t>
    </r>
    <r>
      <rPr>
        <sz val="10"/>
        <color rgb="FF000000"/>
        <rFont val="Arial"/>
        <family val="2"/>
      </rPr>
      <t>:  For threadmills up to 0.5" cutting diameter, we found that the Flat Length was almost always a little less than one hundredth of the cutting diameter, so you can use that as a rough estimate.</t>
    </r>
  </si>
  <si>
    <t>Notice the tool (in green, bue, and red) does not cut the whole thread profile when only pushed out to the Theoretical PDO. Instead, we have to make adjustments to the PDO so that the walls of the tool line up with the walls of the thread.</t>
  </si>
  <si>
    <t>Maximum Major Diameter</t>
  </si>
  <si>
    <t>Minimum Major Diameter</t>
  </si>
  <si>
    <t>Average Major Diameter</t>
  </si>
  <si>
    <t>2B</t>
  </si>
  <si>
    <t>Source: Machinery's Handbook 30th Edition P. 1869-1895</t>
  </si>
  <si>
    <t>Put same value in each field (Min and Max) if using ONE minor diameter - e.g. Tap Drill Dia.</t>
  </si>
  <si>
    <t>Check Mfg's website. A.k.a. Crest</t>
  </si>
  <si>
    <t>If your final PDO is greater than your tool's Tooth Height, it will break</t>
  </si>
  <si>
    <t>the tool trying to push it into the thread wall.</t>
  </si>
  <si>
    <t>If you do not have any means to measure the tip of the tool, 
this graph MAY help with a ROUGH estimate</t>
  </si>
  <si>
    <t>Adjusts for estimated flat tip of threadmill tool</t>
  </si>
  <si>
    <t>If CAD has minor (e.g. 0.201" for a 1/4x20)</t>
  </si>
  <si>
    <t>If CAD has major (e.g. 0.25" for a 1/4x20)</t>
  </si>
  <si>
    <t>Minor Diameter (e.g. drill diameter)</t>
  </si>
  <si>
    <t>Only Informational; does not affect calculations</t>
  </si>
  <si>
    <t>Calculations use AVERAGE Minor Diameter; this NEEDS to be the CAD diameter</t>
  </si>
  <si>
    <t>Check Mfg's website, A.k.a. Crest</t>
  </si>
  <si>
    <t>Thread Size</t>
  </si>
  <si>
    <t>Final PDO</t>
  </si>
  <si>
    <t>4-40 UNC</t>
  </si>
  <si>
    <t>6-32 UNC</t>
  </si>
  <si>
    <t>8-32 UNC</t>
  </si>
  <si>
    <t>10-24 UNC</t>
  </si>
  <si>
    <t>10-32 UNF</t>
  </si>
  <si>
    <t>1/4-20 UNC</t>
  </si>
  <si>
    <t>1/4-28 UNF</t>
  </si>
  <si>
    <t>5/16-18 UNC</t>
  </si>
  <si>
    <t>5/16-24 UNF</t>
  </si>
  <si>
    <t>3/8-16 UNC</t>
  </si>
  <si>
    <t>3/8-24 UNF</t>
  </si>
  <si>
    <t>7/16-14 UNC</t>
  </si>
  <si>
    <t>7/16-20 UNF</t>
  </si>
  <si>
    <t>1/2-13 UNC</t>
  </si>
  <si>
    <t>1/2-20 UNF</t>
  </si>
  <si>
    <t>#36</t>
  </si>
  <si>
    <t>#29</t>
  </si>
  <si>
    <t>#25</t>
  </si>
  <si>
    <t>#21</t>
  </si>
  <si>
    <t>#7</t>
  </si>
  <si>
    <t>#3</t>
  </si>
  <si>
    <t>F</t>
  </si>
  <si>
    <t>I</t>
  </si>
  <si>
    <t>5/16"</t>
  </si>
  <si>
    <t>Q</t>
  </si>
  <si>
    <t>U</t>
  </si>
  <si>
    <t>W</t>
  </si>
  <si>
    <t>27/64"</t>
  </si>
  <si>
    <t>29/64"</t>
  </si>
  <si>
    <t>Tool Info</t>
  </si>
  <si>
    <t>PDO</t>
  </si>
  <si>
    <t>PDO Step 2</t>
  </si>
  <si>
    <t>Tool Adjustment</t>
  </si>
  <si>
    <t>Drill Size</t>
  </si>
  <si>
    <t>Decimal</t>
  </si>
  <si>
    <t>Major Dia.</t>
  </si>
  <si>
    <t>INTERNAL Common Thread Size Calculations</t>
  </si>
  <si>
    <t>EXTERNAL Common Thread Size Calculations</t>
  </si>
  <si>
    <t>*Note: When choosing a tool, make sure that both the tool diameter fits in your drilled hole and the tooth height is deeper than your PDO</t>
  </si>
  <si>
    <t>*IMPORTANT: If you are using a multi-tooth thread mill, set this to 0. This value is unnecessary as long as you are cutting a TPI that is specific to your tool.</t>
  </si>
  <si>
    <t>*IMPORTANT: If you are using a multi-tooth thread mill, set this to 0.This value is unnecessary as long as you are cutting a TPI that is specific to your tool.</t>
  </si>
  <si>
    <t>Increase PDO…</t>
  </si>
  <si>
    <t>Adjusting via CAM:</t>
  </si>
  <si>
    <t>K0 will drive your PDO. Increasing K0 results in a looser fit</t>
  </si>
  <si>
    <t>Bottom Hole Diameter</t>
  </si>
  <si>
    <t>Adjusting via CAD model:</t>
  </si>
  <si>
    <t>Top Hole Diameter</t>
  </si>
  <si>
    <t>Tips on adjusting fit:</t>
  </si>
  <si>
    <t>*IMPORTANT: If using a multi-tooth thread mill, set this to 0</t>
  </si>
  <si>
    <t>Thread Mill Flat Length ("crest")</t>
  </si>
  <si>
    <t>Tool Check!</t>
  </si>
  <si>
    <r>
      <t>L</t>
    </r>
    <r>
      <rPr>
        <vertAlign val="subscript"/>
        <sz val="11"/>
        <color theme="1"/>
        <rFont val="Calibri"/>
        <family val="2"/>
        <scheme val="minor"/>
      </rPr>
      <t>4</t>
    </r>
  </si>
  <si>
    <r>
      <t>K</t>
    </r>
    <r>
      <rPr>
        <vertAlign val="subscript"/>
        <sz val="11"/>
        <color theme="1"/>
        <rFont val="Calibri"/>
        <family val="2"/>
        <scheme val="minor"/>
      </rPr>
      <t>0</t>
    </r>
  </si>
  <si>
    <t xml:space="preserve">Pitch  </t>
  </si>
  <si>
    <t>Dimension</t>
  </si>
  <si>
    <t>Name</t>
  </si>
  <si>
    <t>Machinery's Handbook Variables</t>
  </si>
  <si>
    <t>CAM Data</t>
  </si>
  <si>
    <t>NPT Threadmilling - Internal Hole Inputs</t>
  </si>
  <si>
    <t>Data retrieved from Machinery's Handbook 30th Edition pages 2009-10 or Machinery's Handbook 28th Edition pages 1862-63</t>
  </si>
  <si>
    <t>Put same value in each field (Min and Max) if using ONE major diameter - e.g. Tap Drill Dia.</t>
  </si>
  <si>
    <t>External Threadmilling; Hole Modeled as MAJOR Diameter</t>
  </si>
  <si>
    <r>
      <t xml:space="preserve">Calculations use AVERAGE Major Diameter; this </t>
    </r>
    <r>
      <rPr>
        <b/>
        <i/>
        <sz val="10"/>
        <color rgb="FFFF0000"/>
        <rFont val="Arial"/>
        <family val="2"/>
      </rPr>
      <t>NEEDS</t>
    </r>
    <r>
      <rPr>
        <b/>
        <i/>
        <sz val="10"/>
        <color rgb="FF000000"/>
        <rFont val="Arial"/>
        <family val="2"/>
      </rPr>
      <t xml:space="preserve"> to be the CAD diameter</t>
    </r>
  </si>
  <si>
    <t>d</t>
  </si>
  <si>
    <t>CAD Model Dimensions INTERNAL</t>
  </si>
  <si>
    <r>
      <t>E</t>
    </r>
    <r>
      <rPr>
        <vertAlign val="subscript"/>
        <sz val="11"/>
        <color theme="1"/>
        <rFont val="Calibri"/>
        <family val="2"/>
        <scheme val="minor"/>
      </rPr>
      <t>0</t>
    </r>
  </si>
  <si>
    <t>Pitch Dia. At Beginning of Ext. Thread</t>
  </si>
  <si>
    <t>Top Post Diameter</t>
  </si>
  <si>
    <t>Bottom Post Diameter</t>
  </si>
  <si>
    <t>D</t>
  </si>
  <si>
    <t>Outside Dia. Of Pipe</t>
  </si>
  <si>
    <r>
      <t xml:space="preserve">Taper Angle </t>
    </r>
    <r>
      <rPr>
        <i/>
        <sz val="11"/>
        <color theme="1"/>
        <rFont val="Calibri"/>
        <family val="2"/>
        <scheme val="minor"/>
      </rPr>
      <t>(degrees)</t>
    </r>
  </si>
  <si>
    <t>#43</t>
  </si>
  <si>
    <t>Internal Feed Chipload</t>
  </si>
  <si>
    <t>Thread Major Diameter</t>
  </si>
  <si>
    <t>Cutter Diameter</t>
  </si>
  <si>
    <t>Feedrate @ Programmed Chipload</t>
  </si>
  <si>
    <t>Feed to Program</t>
  </si>
  <si>
    <t>Maintaining the same RPM, program this as your feedrate to achieve the desired chipload</t>
  </si>
  <si>
    <t>After inputting your desired chipload and RPM, this is the feedrate that is automatically calculated.</t>
  </si>
  <si>
    <t>External Feed Chipload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</si>
</sst>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64"/>
    <numFmt numFmtId="165" formatCode="0.0000"/>
    <numFmt numFmtId="166" formatCode="0.00000"/>
  </numFmts>
  <fonts count="49"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b/>
      <sz val="10"/>
      <color theme="0"/>
      <name val="Arial"/>
      <family val="2"/>
    </font>
    <font>
      <sz val="10"/>
      <color theme="0"/>
      <name val="Arial"/>
      <family val="2"/>
    </font>
    <font>
      <i/>
      <sz val="10"/>
      <name val="Arial"/>
      <family val="2"/>
    </font>
    <font>
      <sz val="10"/>
      <color theme="1"/>
      <name val="Arial"/>
      <family val="2"/>
    </font>
    <font>
      <b/>
      <u/>
      <sz val="10"/>
      <name val="Arial"/>
      <family val="2"/>
    </font>
    <font>
      <i/>
      <sz val="10"/>
      <color theme="1"/>
      <name val="Arial"/>
      <family val="2"/>
    </font>
    <font>
      <sz val="10"/>
      <color rgb="FF0000FF"/>
      <name val="Arial"/>
      <family val="2"/>
    </font>
    <font>
      <i/>
      <sz val="10"/>
      <color rgb="FF000000"/>
      <name val="Arial"/>
      <family val="2"/>
    </font>
    <font>
      <b/>
      <sz val="10"/>
      <color rgb="FF000000"/>
      <name val="Arial"/>
      <family val="2"/>
    </font>
    <font>
      <b/>
      <i/>
      <sz val="10"/>
      <color theme="0"/>
      <name val="Arial"/>
      <family val="2"/>
    </font>
    <font>
      <b/>
      <sz val="10"/>
      <color rgb="FF0000FF"/>
      <name val="Arial"/>
      <family val="2"/>
    </font>
    <font>
      <b/>
      <i/>
      <sz val="10"/>
      <color rgb="FF000000"/>
      <name val="Arial"/>
      <family val="2"/>
    </font>
    <font>
      <b/>
      <i/>
      <u/>
      <sz val="10"/>
      <color rgb="FF000000"/>
      <name val="Arial"/>
      <family val="2"/>
    </font>
    <font>
      <b/>
      <sz val="10"/>
      <name val="Arial"/>
      <family val="2"/>
    </font>
    <font>
      <u/>
      <sz val="10"/>
      <color theme="10"/>
      <name val="Arial"/>
      <family val="2"/>
    </font>
    <font>
      <b/>
      <u/>
      <sz val="10"/>
      <color theme="0" tint="-0.249977111117893"/>
      <name val="Arial"/>
      <family val="2"/>
    </font>
    <font>
      <sz val="10"/>
      <color theme="0" tint="-0.249977111117893"/>
      <name val="Arial"/>
      <family val="2"/>
    </font>
    <font>
      <b/>
      <sz val="10"/>
      <color theme="0" tint="-0.249977111117893"/>
      <name val="Arial"/>
      <family val="2"/>
    </font>
    <font>
      <sz val="10"/>
      <color theme="0" tint="-0.14999847407452621"/>
      <name val="Arial"/>
      <family val="2"/>
    </font>
    <font>
      <sz val="10"/>
      <color theme="0" tint="-0.499984740745262"/>
      <name val="Arial"/>
      <family val="2"/>
    </font>
    <font>
      <b/>
      <u/>
      <sz val="10"/>
      <color theme="0" tint="-0.499984740745262"/>
      <name val="Arial"/>
      <family val="2"/>
    </font>
    <font>
      <b/>
      <sz val="10"/>
      <color theme="0" tint="-0.499984740745262"/>
      <name val="Arial"/>
      <family val="2"/>
    </font>
    <font>
      <b/>
      <u/>
      <sz val="10"/>
      <color theme="0" tint="-0.14999847407452621"/>
      <name val="Arial"/>
      <family val="2"/>
    </font>
    <font>
      <b/>
      <sz val="10"/>
      <color theme="0" tint="-0.14999847407452621"/>
      <name val="Arial"/>
      <family val="2"/>
    </font>
    <font>
      <i/>
      <sz val="10"/>
      <color theme="0" tint="-0.499984740745262"/>
      <name val="Arial"/>
      <family val="2"/>
    </font>
    <font>
      <i/>
      <sz val="10"/>
      <color theme="0" tint="-0.34998626667073579"/>
      <name val="Arial"/>
      <family val="2"/>
    </font>
    <font>
      <b/>
      <sz val="40"/>
      <color rgb="FF000000"/>
      <name val="Arial"/>
      <family val="2"/>
    </font>
    <font>
      <i/>
      <sz val="9"/>
      <color rgb="FF000000"/>
      <name val="Arial"/>
      <family val="2"/>
    </font>
    <font>
      <b/>
      <sz val="72"/>
      <color rgb="FF000000"/>
      <name val="Arial"/>
      <family val="2"/>
    </font>
    <font>
      <b/>
      <sz val="50"/>
      <color rgb="FF000000"/>
      <name val="Arial"/>
      <family val="2"/>
    </font>
    <font>
      <b/>
      <sz val="60"/>
      <color rgb="FF000000"/>
      <name val="Arial"/>
      <family val="2"/>
    </font>
    <font>
      <i/>
      <sz val="11"/>
      <color rgb="FF7F7F7F"/>
      <name val="Calibri"/>
      <family val="2"/>
      <scheme val="minor"/>
    </font>
    <font>
      <b/>
      <i/>
      <sz val="11"/>
      <color rgb="FF7F7F7F"/>
      <name val="Calibri"/>
      <family val="2"/>
      <scheme val="minor"/>
    </font>
    <font>
      <i/>
      <sz val="8"/>
      <color theme="0" tint="-0.499984740745262"/>
      <name val="Arial"/>
      <family val="2"/>
    </font>
    <font>
      <b/>
      <sz val="11"/>
      <color theme="0"/>
      <name val="Calibri"/>
      <family val="2"/>
      <scheme val="minor"/>
    </font>
    <font>
      <b/>
      <sz val="11"/>
      <color theme="1"/>
      <name val="Calibri"/>
      <family val="2"/>
      <scheme val="minor"/>
    </font>
    <font>
      <sz val="11"/>
      <color theme="0"/>
      <name val="Calibri"/>
      <family val="2"/>
      <scheme val="minor"/>
    </font>
    <font>
      <i/>
      <u/>
      <sz val="11"/>
      <color theme="1"/>
      <name val="Calibri"/>
      <family val="2"/>
      <scheme val="minor"/>
    </font>
    <font>
      <b/>
      <i/>
      <sz val="11"/>
      <color theme="1"/>
      <name val="Calibri"/>
      <family val="2"/>
      <scheme val="minor"/>
    </font>
    <font>
      <b/>
      <sz val="11"/>
      <color rgb="FF0000FF"/>
      <name val="Calibri"/>
      <family val="2"/>
      <scheme val="minor"/>
    </font>
    <font>
      <vertAlign val="subscript"/>
      <sz val="11"/>
      <color theme="1"/>
      <name val="Calibri"/>
      <family val="2"/>
      <scheme val="minor"/>
    </font>
    <font>
      <b/>
      <i/>
      <sz val="10"/>
      <color rgb="FFFF0000"/>
      <name val="Arial"/>
      <family val="2"/>
    </font>
    <font>
      <i/>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0" fillId="0" borderId="0" applyNumberFormat="0" applyFill="0" applyBorder="0" applyAlignment="0" applyProtection="0"/>
    <xf numFmtId="0" fontId="5" fillId="0" borderId="0"/>
    <xf numFmtId="0" fontId="37" fillId="0" borderId="0" applyNumberFormat="0" applyFill="0" applyBorder="0" applyAlignment="0" applyProtection="0"/>
    <xf numFmtId="0" fontId="4" fillId="0" borderId="0"/>
  </cellStyleXfs>
  <cellXfs count="310">
    <xf numFmtId="0" fontId="0" fillId="0" borderId="0" xfId="0" applyFont="1" applyAlignment="1"/>
    <xf numFmtId="0" fontId="5" fillId="0" borderId="0" xfId="0" applyFont="1" applyAlignment="1"/>
    <xf numFmtId="0" fontId="0" fillId="0" borderId="0" xfId="0" applyFont="1" applyBorder="1" applyAlignment="1"/>
    <xf numFmtId="0" fontId="5" fillId="0" borderId="0" xfId="0" applyFont="1" applyBorder="1" applyAlignment="1"/>
    <xf numFmtId="0" fontId="6" fillId="2" borderId="1" xfId="0" applyFont="1" applyFill="1" applyBorder="1" applyAlignment="1"/>
    <xf numFmtId="0" fontId="7" fillId="2" borderId="2" xfId="0" applyFont="1" applyFill="1" applyBorder="1" applyAlignment="1"/>
    <xf numFmtId="0" fontId="7" fillId="2" borderId="3" xfId="0" applyFont="1" applyFill="1" applyBorder="1" applyAlignment="1"/>
    <xf numFmtId="0" fontId="8" fillId="0" borderId="4" xfId="0" applyFont="1" applyBorder="1" applyAlignment="1"/>
    <xf numFmtId="0" fontId="0" fillId="0" borderId="5" xfId="0" applyFont="1" applyBorder="1" applyAlignment="1"/>
    <xf numFmtId="0" fontId="0" fillId="0" borderId="4" xfId="0" applyFont="1" applyBorder="1" applyAlignment="1"/>
    <xf numFmtId="0" fontId="10" fillId="0" borderId="4" xfId="0" applyFont="1" applyBorder="1" applyAlignment="1"/>
    <xf numFmtId="0" fontId="9" fillId="0" borderId="4" xfId="0" applyFont="1" applyBorder="1" applyAlignment="1">
      <alignment horizontal="left"/>
    </xf>
    <xf numFmtId="0" fontId="5" fillId="0" borderId="4" xfId="0" applyFont="1" applyBorder="1" applyAlignment="1"/>
    <xf numFmtId="0" fontId="11" fillId="0" borderId="4" xfId="0" applyFont="1" applyBorder="1" applyAlignment="1">
      <alignment horizontal="left"/>
    </xf>
    <xf numFmtId="0" fontId="0" fillId="0" borderId="0" xfId="0" applyFont="1" applyBorder="1" applyAlignment="1">
      <alignment horizontal="center"/>
    </xf>
    <xf numFmtId="0" fontId="0" fillId="0" borderId="6" xfId="0" applyFont="1" applyBorder="1" applyAlignment="1"/>
    <xf numFmtId="0" fontId="0" fillId="0" borderId="7" xfId="0" applyFont="1" applyBorder="1" applyAlignment="1"/>
    <xf numFmtId="164" fontId="0" fillId="0" borderId="7" xfId="0" applyNumberFormat="1" applyFont="1" applyBorder="1" applyAlignment="1"/>
    <xf numFmtId="0" fontId="5" fillId="0" borderId="7" xfId="0" applyFont="1" applyBorder="1" applyAlignment="1"/>
    <xf numFmtId="164" fontId="0" fillId="0" borderId="8" xfId="0" applyNumberFormat="1" applyFont="1" applyBorder="1" applyAlignment="1"/>
    <xf numFmtId="0" fontId="5" fillId="0" borderId="4" xfId="0" applyFont="1" applyFill="1" applyBorder="1" applyAlignment="1"/>
    <xf numFmtId="0" fontId="13" fillId="0" borderId="0" xfId="0" applyFont="1" applyBorder="1" applyAlignment="1"/>
    <xf numFmtId="0" fontId="5" fillId="0" borderId="4" xfId="0" applyFont="1" applyBorder="1"/>
    <xf numFmtId="0" fontId="0" fillId="0" borderId="8" xfId="0" applyFont="1" applyBorder="1" applyAlignment="1"/>
    <xf numFmtId="0" fontId="0" fillId="0" borderId="0" xfId="0"/>
    <xf numFmtId="0" fontId="0" fillId="0" borderId="0" xfId="0" applyBorder="1"/>
    <xf numFmtId="0" fontId="0" fillId="0" borderId="2" xfId="0" applyFont="1" applyBorder="1" applyAlignment="1"/>
    <xf numFmtId="0" fontId="13" fillId="0" borderId="2" xfId="0" applyFont="1" applyBorder="1" applyAlignment="1"/>
    <xf numFmtId="0" fontId="0" fillId="0" borderId="3" xfId="0" applyFont="1" applyBorder="1" applyAlignment="1"/>
    <xf numFmtId="0" fontId="13" fillId="0" borderId="6" xfId="0" applyFont="1" applyBorder="1" applyAlignment="1"/>
    <xf numFmtId="0" fontId="6" fillId="2" borderId="0" xfId="0" applyFont="1" applyFill="1" applyAlignment="1"/>
    <xf numFmtId="0" fontId="12" fillId="0" borderId="0" xfId="0" applyFont="1" applyBorder="1" applyAlignment="1">
      <alignment horizontal="center"/>
    </xf>
    <xf numFmtId="0" fontId="13" fillId="0" borderId="5" xfId="0" applyFont="1" applyBorder="1" applyAlignment="1"/>
    <xf numFmtId="0" fontId="5" fillId="0" borderId="6" xfId="0" applyFont="1" applyFill="1" applyBorder="1" applyAlignment="1"/>
    <xf numFmtId="0" fontId="12" fillId="0" borderId="7" xfId="0" applyFont="1" applyBorder="1" applyAlignment="1">
      <alignment horizontal="center"/>
    </xf>
    <xf numFmtId="0" fontId="13" fillId="0" borderId="8" xfId="0" applyFont="1" applyBorder="1" applyAlignment="1"/>
    <xf numFmtId="0" fontId="5" fillId="0" borderId="6" xfId="0" applyFont="1" applyBorder="1" applyAlignment="1"/>
    <xf numFmtId="0" fontId="5" fillId="0" borderId="1" xfId="0" applyFont="1" applyFill="1" applyBorder="1" applyAlignment="1"/>
    <xf numFmtId="0" fontId="6" fillId="2" borderId="0" xfId="0" applyFont="1" applyFill="1" applyBorder="1" applyAlignment="1"/>
    <xf numFmtId="0" fontId="17" fillId="0" borderId="0" xfId="0" applyFont="1" applyAlignment="1"/>
    <xf numFmtId="165" fontId="0" fillId="0" borderId="2" xfId="0" applyNumberFormat="1" applyFont="1" applyBorder="1" applyAlignment="1">
      <alignment horizontal="center"/>
    </xf>
    <xf numFmtId="165" fontId="0" fillId="0" borderId="0" xfId="0" applyNumberFormat="1" applyFont="1" applyBorder="1" applyAlignment="1">
      <alignment horizontal="center"/>
    </xf>
    <xf numFmtId="165" fontId="19" fillId="3" borderId="7" xfId="0" applyNumberFormat="1" applyFont="1" applyFill="1" applyBorder="1" applyAlignment="1">
      <alignment horizontal="center"/>
    </xf>
    <xf numFmtId="165" fontId="0" fillId="0" borderId="0" xfId="0" applyNumberFormat="1" applyFont="1" applyAlignment="1">
      <alignment horizontal="center"/>
    </xf>
    <xf numFmtId="165" fontId="6" fillId="2" borderId="0" xfId="0" applyNumberFormat="1" applyFont="1" applyFill="1" applyAlignment="1">
      <alignment horizontal="center"/>
    </xf>
    <xf numFmtId="0" fontId="20" fillId="0" borderId="5" xfId="1" applyBorder="1" applyAlignment="1"/>
    <xf numFmtId="0" fontId="12" fillId="0" borderId="0" xfId="0" applyFont="1" applyAlignment="1"/>
    <xf numFmtId="0" fontId="22" fillId="0" borderId="2" xfId="0" applyFont="1" applyBorder="1" applyAlignment="1">
      <alignment horizontal="center"/>
    </xf>
    <xf numFmtId="0" fontId="22" fillId="0" borderId="0" xfId="0" applyFont="1" applyBorder="1" applyAlignment="1"/>
    <xf numFmtId="0" fontId="23" fillId="0" borderId="0" xfId="0" applyFont="1" applyBorder="1" applyAlignment="1"/>
    <xf numFmtId="0" fontId="25" fillId="0" borderId="4" xfId="0" applyFont="1" applyBorder="1" applyAlignment="1"/>
    <xf numFmtId="0" fontId="21" fillId="0" borderId="2" xfId="0" applyFont="1" applyBorder="1" applyAlignment="1"/>
    <xf numFmtId="0" fontId="26" fillId="0" borderId="2" xfId="0" applyFont="1" applyBorder="1" applyAlignment="1">
      <alignment horizontal="right"/>
    </xf>
    <xf numFmtId="0" fontId="26" fillId="0" borderId="2" xfId="0" applyFont="1" applyBorder="1" applyAlignment="1"/>
    <xf numFmtId="0" fontId="25" fillId="0" borderId="0" xfId="0" applyFont="1" applyBorder="1" applyAlignment="1">
      <alignment horizontal="center"/>
    </xf>
    <xf numFmtId="0" fontId="27" fillId="0" borderId="0" xfId="0" applyFont="1" applyBorder="1" applyAlignment="1">
      <alignment horizontal="center"/>
    </xf>
    <xf numFmtId="0" fontId="28" fillId="0" borderId="2" xfId="0" applyFont="1" applyBorder="1" applyAlignment="1"/>
    <xf numFmtId="0" fontId="24" fillId="0" borderId="0" xfId="0" applyFont="1" applyBorder="1" applyAlignment="1">
      <alignment horizontal="center"/>
    </xf>
    <xf numFmtId="0" fontId="29" fillId="0" borderId="0" xfId="0" applyFont="1" applyBorder="1" applyAlignment="1">
      <alignment horizontal="center"/>
    </xf>
    <xf numFmtId="0" fontId="28" fillId="0" borderId="3" xfId="0" applyFont="1" applyBorder="1" applyAlignment="1"/>
    <xf numFmtId="0" fontId="24" fillId="0" borderId="0" xfId="0" applyFont="1" applyBorder="1" applyAlignment="1">
      <alignment horizontal="right"/>
    </xf>
    <xf numFmtId="0" fontId="24" fillId="0" borderId="5" xfId="0" applyFont="1" applyBorder="1" applyAlignment="1">
      <alignment horizontal="center"/>
    </xf>
    <xf numFmtId="0" fontId="29" fillId="0" borderId="0" xfId="0" applyFont="1" applyBorder="1" applyAlignment="1">
      <alignment horizontal="right"/>
    </xf>
    <xf numFmtId="0" fontId="29" fillId="0" borderId="5" xfId="0" applyFont="1" applyBorder="1" applyAlignment="1">
      <alignment horizontal="center"/>
    </xf>
    <xf numFmtId="165" fontId="0" fillId="0" borderId="0" xfId="0" applyNumberFormat="1" applyFont="1" applyBorder="1" applyAlignment="1"/>
    <xf numFmtId="0" fontId="6" fillId="2" borderId="1" xfId="0" applyFont="1" applyFill="1" applyBorder="1" applyAlignment="1">
      <alignment horizontal="left"/>
    </xf>
    <xf numFmtId="0" fontId="20" fillId="0" borderId="0" xfId="1" applyAlignment="1"/>
    <xf numFmtId="0" fontId="18" fillId="0" borderId="1" xfId="0" applyFont="1" applyBorder="1" applyAlignment="1"/>
    <xf numFmtId="0" fontId="0" fillId="0" borderId="0" xfId="0" applyAlignment="1"/>
    <xf numFmtId="0" fontId="25" fillId="0" borderId="1" xfId="0" applyFont="1" applyBorder="1" applyAlignment="1"/>
    <xf numFmtId="165" fontId="25" fillId="0" borderId="2" xfId="0" applyNumberFormat="1" applyFont="1" applyBorder="1" applyAlignment="1">
      <alignment horizontal="center"/>
    </xf>
    <xf numFmtId="0" fontId="25" fillId="0" borderId="3" xfId="0" applyFont="1" applyBorder="1" applyAlignment="1"/>
    <xf numFmtId="165" fontId="25" fillId="0" borderId="0" xfId="0" applyNumberFormat="1" applyFont="1" applyBorder="1" applyAlignment="1">
      <alignment horizontal="center"/>
    </xf>
    <xf numFmtId="0" fontId="25" fillId="0" borderId="5" xfId="0" applyFont="1" applyBorder="1" applyAlignment="1"/>
    <xf numFmtId="0" fontId="25" fillId="0" borderId="6" xfId="0" applyFont="1" applyBorder="1" applyAlignment="1"/>
    <xf numFmtId="165" fontId="25" fillId="0" borderId="7" xfId="0" applyNumberFormat="1" applyFont="1" applyBorder="1" applyAlignment="1">
      <alignment horizontal="center"/>
    </xf>
    <xf numFmtId="0" fontId="25" fillId="0" borderId="8" xfId="0" applyFont="1" applyBorder="1" applyAlignment="1"/>
    <xf numFmtId="0" fontId="25" fillId="0" borderId="1" xfId="0" applyFont="1" applyFill="1" applyBorder="1" applyAlignment="1"/>
    <xf numFmtId="0" fontId="25" fillId="0" borderId="6" xfId="0" applyFont="1" applyFill="1" applyBorder="1" applyAlignment="1"/>
    <xf numFmtId="0" fontId="7" fillId="2" borderId="0" xfId="0" applyFont="1" applyFill="1" applyAlignment="1"/>
    <xf numFmtId="0" fontId="15" fillId="2" borderId="4" xfId="0" applyFont="1" applyFill="1" applyBorder="1" applyAlignment="1"/>
    <xf numFmtId="0" fontId="7" fillId="2" borderId="0" xfId="0" applyFont="1" applyFill="1" applyBorder="1" applyAlignment="1"/>
    <xf numFmtId="0" fontId="7" fillId="2" borderId="5" xfId="0" applyFont="1" applyFill="1" applyBorder="1" applyAlignment="1"/>
    <xf numFmtId="0" fontId="0" fillId="0" borderId="1" xfId="0" applyFont="1" applyBorder="1" applyAlignment="1"/>
    <xf numFmtId="0" fontId="13" fillId="0" borderId="7" xfId="0" applyFont="1" applyBorder="1" applyAlignment="1"/>
    <xf numFmtId="0" fontId="25" fillId="0" borderId="7" xfId="0" applyFont="1" applyBorder="1" applyAlignment="1">
      <alignment horizontal="center"/>
    </xf>
    <xf numFmtId="0" fontId="0" fillId="0" borderId="5" xfId="0" applyFont="1" applyBorder="1" applyAlignment="1">
      <alignment horizontal="center"/>
    </xf>
    <xf numFmtId="0" fontId="6" fillId="2" borderId="1" xfId="0" applyFont="1" applyFill="1" applyBorder="1" applyAlignment="1">
      <alignment horizontal="left"/>
    </xf>
    <xf numFmtId="0" fontId="0" fillId="0" borderId="0" xfId="0" applyFont="1" applyAlignment="1">
      <alignment horizontal="center"/>
    </xf>
    <xf numFmtId="0" fontId="13" fillId="0" borderId="1" xfId="0" applyFont="1" applyBorder="1" applyAlignment="1"/>
    <xf numFmtId="0" fontId="13" fillId="0" borderId="2" xfId="0" applyFont="1" applyBorder="1" applyAlignment="1">
      <alignment horizontal="center"/>
    </xf>
    <xf numFmtId="0" fontId="13" fillId="0" borderId="4" xfId="0" applyFont="1" applyBorder="1" applyAlignment="1"/>
    <xf numFmtId="0" fontId="25" fillId="0" borderId="4" xfId="0" applyFont="1" applyFill="1" applyBorder="1" applyAlignment="1"/>
    <xf numFmtId="166" fontId="25" fillId="0" borderId="0" xfId="0" applyNumberFormat="1" applyFont="1" applyBorder="1" applyAlignment="1">
      <alignment horizontal="center"/>
    </xf>
    <xf numFmtId="0" fontId="18" fillId="0" borderId="2" xfId="0" applyFont="1" applyBorder="1" applyAlignment="1">
      <alignment horizontal="center"/>
    </xf>
    <xf numFmtId="0" fontId="18" fillId="0" borderId="3"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xf>
    <xf numFmtId="0" fontId="13" fillId="0" borderId="0" xfId="0" applyFont="1" applyAlignment="1"/>
    <xf numFmtId="0" fontId="16" fillId="3" borderId="0" xfId="0" applyFont="1" applyFill="1" applyAlignment="1">
      <alignment horizontal="center"/>
    </xf>
    <xf numFmtId="0" fontId="14" fillId="3" borderId="4" xfId="0" applyFont="1" applyFill="1" applyBorder="1" applyAlignment="1"/>
    <xf numFmtId="0" fontId="0" fillId="0" borderId="7" xfId="0" applyFont="1" applyBorder="1" applyAlignment="1">
      <alignment horizontal="left"/>
    </xf>
    <xf numFmtId="0" fontId="14" fillId="0" borderId="0" xfId="0" applyFont="1" applyAlignment="1"/>
    <xf numFmtId="0" fontId="0" fillId="2" borderId="0" xfId="0" applyFont="1" applyFill="1" applyAlignment="1"/>
    <xf numFmtId="0" fontId="12" fillId="4" borderId="0" xfId="0" applyFont="1" applyFill="1" applyBorder="1" applyAlignment="1">
      <alignment horizontal="center"/>
    </xf>
    <xf numFmtId="0" fontId="0" fillId="0" borderId="0" xfId="0" applyFont="1" applyAlignment="1">
      <alignment wrapText="1"/>
    </xf>
    <xf numFmtId="0" fontId="6" fillId="2" borderId="1" xfId="0" applyFont="1" applyFill="1" applyBorder="1" applyAlignment="1">
      <alignment horizontal="left"/>
    </xf>
    <xf numFmtId="0" fontId="6" fillId="2" borderId="2" xfId="0" applyFont="1" applyFill="1" applyBorder="1" applyAlignment="1">
      <alignment horizontal="left"/>
    </xf>
    <xf numFmtId="0" fontId="13" fillId="0" borderId="0" xfId="0" applyFont="1" applyBorder="1" applyAlignment="1">
      <alignment horizontal="center"/>
    </xf>
    <xf numFmtId="0" fontId="13" fillId="0" borderId="5" xfId="0" applyFont="1" applyBorder="1" applyAlignment="1">
      <alignment horizontal="center"/>
    </xf>
    <xf numFmtId="0" fontId="31" fillId="0" borderId="4" xfId="0" applyFont="1" applyBorder="1" applyAlignment="1"/>
    <xf numFmtId="0" fontId="31" fillId="0" borderId="0" xfId="0" applyFont="1" applyBorder="1" applyAlignment="1">
      <alignment horizontal="center"/>
    </xf>
    <xf numFmtId="0" fontId="13" fillId="0" borderId="4"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28" fillId="0" borderId="2" xfId="0" applyFont="1" applyBorder="1" applyAlignment="1">
      <alignment horizontal="right"/>
    </xf>
    <xf numFmtId="0" fontId="25" fillId="0" borderId="0" xfId="0" applyFont="1" applyBorder="1"/>
    <xf numFmtId="165" fontId="14" fillId="3" borderId="0" xfId="0" applyNumberFormat="1" applyFont="1" applyFill="1" applyBorder="1" applyAlignment="1">
      <alignment horizontal="center"/>
    </xf>
    <xf numFmtId="165" fontId="13" fillId="0" borderId="0" xfId="0" applyNumberFormat="1" applyFont="1" applyBorder="1" applyAlignment="1">
      <alignment horizontal="center"/>
    </xf>
    <xf numFmtId="0" fontId="14" fillId="5" borderId="4" xfId="0" applyFont="1" applyFill="1" applyBorder="1" applyAlignment="1"/>
    <xf numFmtId="165" fontId="14" fillId="5" borderId="0" xfId="0" applyNumberFormat="1" applyFont="1" applyFill="1" applyBorder="1" applyAlignment="1">
      <alignment horizontal="center"/>
    </xf>
    <xf numFmtId="0" fontId="0" fillId="0" borderId="0" xfId="0" applyFont="1" applyAlignment="1">
      <alignment horizontal="right"/>
    </xf>
    <xf numFmtId="0" fontId="0" fillId="0" borderId="0" xfId="0" applyAlignment="1">
      <alignment horizontal="right"/>
    </xf>
    <xf numFmtId="0" fontId="16" fillId="0" borderId="0" xfId="0" applyFont="1" applyBorder="1" applyAlignment="1">
      <alignment horizontal="center"/>
    </xf>
    <xf numFmtId="0" fontId="16" fillId="3" borderId="0" xfId="0" applyFont="1" applyFill="1" applyBorder="1" applyAlignment="1">
      <alignment horizontal="center"/>
    </xf>
    <xf numFmtId="0" fontId="32" fillId="0" borderId="9" xfId="0" applyFont="1" applyBorder="1" applyAlignment="1">
      <alignment vertical="center"/>
    </xf>
    <xf numFmtId="0" fontId="32" fillId="0" borderId="10" xfId="0" applyFont="1" applyBorder="1" applyAlignment="1">
      <alignment vertical="center"/>
    </xf>
    <xf numFmtId="0" fontId="0" fillId="0" borderId="5" xfId="0" applyFont="1" applyBorder="1" applyAlignment="1">
      <alignment vertical="center" wrapText="1"/>
    </xf>
    <xf numFmtId="0" fontId="16" fillId="0" borderId="7" xfId="0" applyFont="1" applyBorder="1" applyAlignment="1">
      <alignment horizontal="center"/>
    </xf>
    <xf numFmtId="0" fontId="30" fillId="0" borderId="8" xfId="0" applyFont="1" applyBorder="1" applyAlignment="1">
      <alignment vertical="center" wrapText="1"/>
    </xf>
    <xf numFmtId="0" fontId="13" fillId="0" borderId="3" xfId="0" applyFont="1" applyBorder="1" applyAlignment="1"/>
    <xf numFmtId="0" fontId="33" fillId="0" borderId="5" xfId="0" applyFont="1" applyBorder="1" applyAlignment="1"/>
    <xf numFmtId="0" fontId="34" fillId="0" borderId="0" xfId="0" applyFont="1" applyBorder="1" applyAlignment="1">
      <alignment horizontal="center" vertical="center"/>
    </xf>
    <xf numFmtId="0" fontId="5" fillId="0" borderId="0" xfId="2"/>
    <xf numFmtId="0" fontId="15" fillId="2" borderId="0" xfId="0" applyFont="1" applyFill="1" applyBorder="1" applyAlignment="1"/>
    <xf numFmtId="164" fontId="0" fillId="0" borderId="0" xfId="0" applyNumberFormat="1" applyFont="1" applyBorder="1" applyAlignment="1"/>
    <xf numFmtId="0" fontId="13" fillId="0" borderId="12" xfId="0" applyFont="1" applyBorder="1" applyAlignment="1"/>
    <xf numFmtId="0" fontId="0" fillId="0" borderId="14" xfId="0" applyFont="1" applyBorder="1" applyAlignment="1"/>
    <xf numFmtId="0" fontId="24" fillId="0" borderId="7" xfId="0" applyFont="1" applyBorder="1" applyAlignment="1">
      <alignment horizontal="center"/>
    </xf>
    <xf numFmtId="0" fontId="25" fillId="0" borderId="7" xfId="0" applyFont="1" applyBorder="1"/>
    <xf numFmtId="0" fontId="22" fillId="0" borderId="7" xfId="0" applyFont="1" applyBorder="1" applyAlignment="1"/>
    <xf numFmtId="0" fontId="24" fillId="0" borderId="7" xfId="0" applyFont="1" applyBorder="1" applyAlignment="1">
      <alignment horizontal="right"/>
    </xf>
    <xf numFmtId="0" fontId="24" fillId="0" borderId="8" xfId="0" applyFont="1" applyBorder="1" applyAlignment="1">
      <alignment horizontal="center"/>
    </xf>
    <xf numFmtId="0" fontId="8" fillId="0" borderId="1" xfId="0" applyFont="1" applyBorder="1" applyAlignment="1"/>
    <xf numFmtId="0" fontId="9" fillId="0" borderId="6" xfId="0" applyFont="1" applyBorder="1" applyAlignment="1">
      <alignment horizontal="left"/>
    </xf>
    <xf numFmtId="0" fontId="0" fillId="0" borderId="8" xfId="0" applyFont="1" applyBorder="1" applyAlignment="1">
      <alignment horizontal="center" vertical="center" wrapText="1"/>
    </xf>
    <xf numFmtId="0" fontId="5" fillId="0" borderId="1" xfId="0" applyFont="1" applyBorder="1"/>
    <xf numFmtId="0" fontId="25" fillId="0" borderId="7" xfId="0" applyFont="1" applyFill="1" applyBorder="1" applyAlignment="1"/>
    <xf numFmtId="166" fontId="25" fillId="0" borderId="7" xfId="0" applyNumberFormat="1" applyFont="1" applyBorder="1" applyAlignment="1">
      <alignment horizontal="center"/>
    </xf>
    <xf numFmtId="0" fontId="34" fillId="0" borderId="10" xfId="0" applyFont="1" applyBorder="1" applyAlignment="1">
      <alignment vertical="center"/>
    </xf>
    <xf numFmtId="0" fontId="14" fillId="3" borderId="1" xfId="0" applyFont="1" applyFill="1" applyBorder="1" applyAlignment="1"/>
    <xf numFmtId="0" fontId="17" fillId="0" borderId="0" xfId="0" applyFont="1" applyAlignment="1">
      <alignment horizontal="left"/>
    </xf>
    <xf numFmtId="0" fontId="13" fillId="0" borderId="0" xfId="0" applyFont="1" applyBorder="1" applyAlignment="1">
      <alignment horizontal="center"/>
    </xf>
    <xf numFmtId="0" fontId="13" fillId="0" borderId="5" xfId="0" applyFont="1" applyBorder="1" applyAlignment="1">
      <alignment horizontal="center"/>
    </xf>
    <xf numFmtId="0" fontId="13" fillId="0" borderId="0" xfId="0" applyFont="1" applyBorder="1" applyAlignment="1">
      <alignment horizontal="center"/>
    </xf>
    <xf numFmtId="0" fontId="17" fillId="0" borderId="0" xfId="0" applyFont="1" applyAlignment="1">
      <alignment horizontal="left"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5" xfId="0" applyFont="1" applyBorder="1" applyAlignment="1">
      <alignment vertical="center" wrapText="1"/>
    </xf>
    <xf numFmtId="0" fontId="5" fillId="0" borderId="2" xfId="0" applyFont="1" applyBorder="1" applyAlignment="1">
      <alignment horizontal="left" vertical="center"/>
    </xf>
    <xf numFmtId="0" fontId="5" fillId="0" borderId="0" xfId="0" applyFont="1" applyBorder="1" applyAlignment="1">
      <alignment horizontal="left" vertical="center"/>
    </xf>
    <xf numFmtId="0" fontId="13" fillId="0" borderId="1" xfId="0" applyFont="1" applyBorder="1" applyAlignment="1">
      <alignment horizontal="left" vertical="center"/>
    </xf>
    <xf numFmtId="0" fontId="13" fillId="0" borderId="4" xfId="0" applyFont="1" applyBorder="1" applyAlignment="1">
      <alignment horizontal="left" vertical="center"/>
    </xf>
    <xf numFmtId="0" fontId="0" fillId="0" borderId="2" xfId="0" applyFont="1" applyBorder="1" applyAlignment="1">
      <alignment horizontal="center"/>
    </xf>
    <xf numFmtId="0" fontId="7" fillId="2" borderId="2" xfId="0" applyFont="1" applyFill="1" applyBorder="1" applyAlignment="1">
      <alignment horizontal="center"/>
    </xf>
    <xf numFmtId="165" fontId="14" fillId="3" borderId="2" xfId="0" applyNumberFormat="1" applyFont="1" applyFill="1" applyBorder="1" applyAlignment="1">
      <alignment horizontal="center"/>
    </xf>
    <xf numFmtId="0" fontId="16" fillId="0" borderId="2" xfId="0" applyFont="1" applyBorder="1" applyAlignment="1">
      <alignment horizontal="center"/>
    </xf>
    <xf numFmtId="0" fontId="16" fillId="0" borderId="5" xfId="0" applyFont="1" applyBorder="1" applyAlignment="1">
      <alignment horizontal="center"/>
    </xf>
    <xf numFmtId="0" fontId="16" fillId="3" borderId="5" xfId="0" applyFont="1" applyFill="1" applyBorder="1" applyAlignment="1">
      <alignment horizontal="center"/>
    </xf>
    <xf numFmtId="166" fontId="25" fillId="0" borderId="5" xfId="0" applyNumberFormat="1" applyFont="1" applyBorder="1" applyAlignment="1">
      <alignment horizontal="center"/>
    </xf>
    <xf numFmtId="0" fontId="0" fillId="2" borderId="2" xfId="0" applyFont="1" applyFill="1" applyBorder="1" applyAlignment="1"/>
    <xf numFmtId="0" fontId="0" fillId="2" borderId="2" xfId="0" applyFill="1" applyBorder="1"/>
    <xf numFmtId="0" fontId="5" fillId="0" borderId="0" xfId="0" applyFont="1" applyBorder="1" applyAlignment="1">
      <alignment horizontal="center"/>
    </xf>
    <xf numFmtId="165" fontId="0" fillId="0" borderId="7" xfId="0" applyNumberFormat="1" applyFont="1" applyBorder="1" applyAlignment="1">
      <alignment horizontal="center"/>
    </xf>
    <xf numFmtId="165" fontId="14" fillId="3" borderId="7" xfId="0" applyNumberFormat="1" applyFont="1" applyFill="1" applyBorder="1" applyAlignment="1">
      <alignment horizontal="center"/>
    </xf>
    <xf numFmtId="0" fontId="0" fillId="2" borderId="3" xfId="0" applyFont="1" applyFill="1" applyBorder="1" applyAlignment="1"/>
    <xf numFmtId="16" fontId="5" fillId="0" borderId="0" xfId="0" applyNumberFormat="1" applyFont="1" applyBorder="1" applyAlignment="1">
      <alignment horizontal="center"/>
    </xf>
    <xf numFmtId="0" fontId="5" fillId="0" borderId="7" xfId="0" applyFont="1" applyBorder="1" applyAlignment="1">
      <alignment horizontal="center"/>
    </xf>
    <xf numFmtId="0" fontId="5" fillId="0" borderId="0" xfId="0" applyNumberFormat="1" applyFont="1" applyBorder="1" applyAlignment="1">
      <alignment horizontal="center"/>
    </xf>
    <xf numFmtId="0" fontId="7" fillId="2" borderId="12" xfId="0" applyFont="1" applyFill="1" applyBorder="1" applyAlignment="1">
      <alignment horizontal="left"/>
    </xf>
    <xf numFmtId="0" fontId="7" fillId="2" borderId="14" xfId="0" applyFont="1" applyFill="1" applyBorder="1" applyAlignment="1">
      <alignment horizontal="left"/>
    </xf>
    <xf numFmtId="0" fontId="0" fillId="2" borderId="2" xfId="0" applyFill="1" applyBorder="1" applyAlignment="1">
      <alignment horizontal="center"/>
    </xf>
    <xf numFmtId="0" fontId="17" fillId="0" borderId="2" xfId="0" applyFont="1" applyBorder="1" applyAlignment="1">
      <alignment horizontal="center"/>
    </xf>
    <xf numFmtId="0" fontId="17" fillId="0" borderId="1" xfId="0" applyFont="1" applyBorder="1" applyAlignment="1">
      <alignment horizontal="center"/>
    </xf>
    <xf numFmtId="0" fontId="17" fillId="0" borderId="3" xfId="0" applyFont="1" applyBorder="1" applyAlignment="1">
      <alignment horizontal="center"/>
    </xf>
    <xf numFmtId="0" fontId="0" fillId="0" borderId="4" xfId="0" applyFont="1" applyBorder="1" applyAlignment="1">
      <alignment horizontal="center"/>
    </xf>
    <xf numFmtId="0" fontId="0" fillId="0" borderId="6" xfId="0" applyFont="1" applyBorder="1" applyAlignment="1">
      <alignment horizontal="center"/>
    </xf>
    <xf numFmtId="0" fontId="0" fillId="2" borderId="3" xfId="0" applyFill="1" applyBorder="1" applyAlignment="1">
      <alignment horizontal="center"/>
    </xf>
    <xf numFmtId="0" fontId="7" fillId="2" borderId="12" xfId="0" applyFont="1" applyFill="1" applyBorder="1" applyAlignment="1"/>
    <xf numFmtId="0" fontId="6" fillId="2" borderId="12" xfId="0" applyFont="1" applyFill="1" applyBorder="1" applyAlignment="1">
      <alignment horizontal="left"/>
    </xf>
    <xf numFmtId="0" fontId="7" fillId="2" borderId="13" xfId="0" applyFont="1" applyFill="1" applyBorder="1" applyAlignment="1"/>
    <xf numFmtId="0" fontId="6" fillId="2" borderId="13" xfId="0" applyFont="1" applyFill="1" applyBorder="1" applyAlignment="1">
      <alignment horizontal="left"/>
    </xf>
    <xf numFmtId="0" fontId="25" fillId="0" borderId="5" xfId="0" applyFont="1" applyBorder="1" applyAlignment="1">
      <alignment horizontal="center"/>
    </xf>
    <xf numFmtId="0" fontId="37" fillId="0" borderId="0" xfId="3" applyAlignment="1"/>
    <xf numFmtId="0" fontId="38" fillId="0" borderId="0" xfId="3" applyFont="1" applyAlignment="1"/>
    <xf numFmtId="0" fontId="4" fillId="0" borderId="0" xfId="4"/>
    <xf numFmtId="0" fontId="4" fillId="0" borderId="8" xfId="4" applyBorder="1"/>
    <xf numFmtId="0" fontId="4" fillId="0" borderId="6" xfId="4" applyBorder="1"/>
    <xf numFmtId="0" fontId="4" fillId="0" borderId="5" xfId="4" applyBorder="1"/>
    <xf numFmtId="0" fontId="4" fillId="0" borderId="4" xfId="4" applyBorder="1"/>
    <xf numFmtId="0" fontId="43" fillId="0" borderId="0" xfId="4" applyFont="1"/>
    <xf numFmtId="0" fontId="44" fillId="3" borderId="5" xfId="4" applyFont="1" applyFill="1" applyBorder="1"/>
    <xf numFmtId="0" fontId="4" fillId="0" borderId="4" xfId="4" applyFill="1" applyBorder="1" applyAlignment="1">
      <alignment horizontal="left"/>
    </xf>
    <xf numFmtId="0" fontId="42" fillId="2" borderId="3" xfId="4" applyFont="1" applyFill="1" applyBorder="1"/>
    <xf numFmtId="0" fontId="40" fillId="2" borderId="1" xfId="4" applyFont="1" applyFill="1" applyBorder="1" applyAlignment="1">
      <alignment horizontal="left"/>
    </xf>
    <xf numFmtId="0" fontId="37" fillId="0" borderId="0" xfId="3"/>
    <xf numFmtId="0" fontId="45" fillId="0" borderId="8" xfId="4" applyFont="1" applyBorder="1" applyAlignment="1">
      <alignment horizontal="center"/>
    </xf>
    <xf numFmtId="0" fontId="4" fillId="0" borderId="6" xfId="4" applyFill="1" applyBorder="1" applyAlignment="1">
      <alignment horizontal="left"/>
    </xf>
    <xf numFmtId="0" fontId="4" fillId="5" borderId="5" xfId="4" applyFill="1" applyBorder="1" applyAlignment="1">
      <alignment horizontal="center"/>
    </xf>
    <xf numFmtId="0" fontId="45" fillId="0" borderId="5" xfId="4" applyFont="1" applyBorder="1" applyAlignment="1">
      <alignment horizontal="center"/>
    </xf>
    <xf numFmtId="0" fontId="4" fillId="0" borderId="5" xfId="4" applyBorder="1" applyAlignment="1">
      <alignment horizontal="center"/>
    </xf>
    <xf numFmtId="0" fontId="4" fillId="2" borderId="3" xfId="4" applyFill="1" applyBorder="1"/>
    <xf numFmtId="0" fontId="45" fillId="0" borderId="7" xfId="4" applyFont="1" applyBorder="1" applyAlignment="1">
      <alignment horizontal="center"/>
    </xf>
    <xf numFmtId="0" fontId="4" fillId="0" borderId="7" xfId="4" applyBorder="1"/>
    <xf numFmtId="0" fontId="4" fillId="0" borderId="6" xfId="4" applyBorder="1" applyAlignment="1">
      <alignment horizontal="right"/>
    </xf>
    <xf numFmtId="0" fontId="45" fillId="0" borderId="0" xfId="4" applyFont="1" applyBorder="1" applyAlignment="1">
      <alignment horizontal="center"/>
    </xf>
    <xf numFmtId="0" fontId="4" fillId="0" borderId="0" xfId="4" applyBorder="1"/>
    <xf numFmtId="0" fontId="4" fillId="0" borderId="4" xfId="4" applyBorder="1" applyAlignment="1">
      <alignment horizontal="right"/>
    </xf>
    <xf numFmtId="0" fontId="44" fillId="3" borderId="3" xfId="4" applyFont="1" applyFill="1" applyBorder="1"/>
    <xf numFmtId="0" fontId="4" fillId="0" borderId="1" xfId="4" applyFont="1" applyFill="1" applyBorder="1"/>
    <xf numFmtId="0" fontId="41" fillId="0" borderId="0" xfId="4" applyFont="1" applyBorder="1"/>
    <xf numFmtId="0" fontId="41" fillId="0" borderId="4" xfId="4" applyFont="1" applyBorder="1"/>
    <xf numFmtId="0" fontId="40" fillId="2" borderId="0" xfId="4" applyFont="1" applyFill="1"/>
    <xf numFmtId="0" fontId="42" fillId="2" borderId="2" xfId="4" applyFont="1" applyFill="1" applyBorder="1"/>
    <xf numFmtId="0" fontId="40" fillId="2" borderId="1" xfId="4" applyFont="1" applyFill="1" applyBorder="1"/>
    <xf numFmtId="0" fontId="13" fillId="3" borderId="2" xfId="0" applyFont="1" applyFill="1" applyBorder="1" applyAlignment="1">
      <alignment horizontal="center"/>
    </xf>
    <xf numFmtId="0" fontId="17" fillId="0" borderId="2" xfId="0" applyFont="1" applyBorder="1" applyAlignment="1"/>
    <xf numFmtId="0" fontId="5" fillId="0" borderId="5" xfId="0" applyFont="1" applyBorder="1" applyAlignment="1"/>
    <xf numFmtId="0" fontId="3" fillId="0" borderId="0" xfId="4" applyFont="1"/>
    <xf numFmtId="0" fontId="2" fillId="0" borderId="0" xfId="4" applyFont="1"/>
    <xf numFmtId="0" fontId="2" fillId="0" borderId="4" xfId="4" applyFont="1" applyBorder="1" applyAlignment="1">
      <alignment horizontal="right"/>
    </xf>
    <xf numFmtId="0" fontId="2" fillId="0" borderId="0" xfId="4" applyFont="1" applyBorder="1"/>
    <xf numFmtId="0" fontId="2" fillId="0" borderId="4" xfId="4" applyFont="1" applyFill="1" applyBorder="1" applyAlignment="1">
      <alignment horizontal="left"/>
    </xf>
    <xf numFmtId="0" fontId="2" fillId="0" borderId="6" xfId="4" applyFont="1" applyBorder="1" applyAlignment="1">
      <alignment horizontal="right"/>
    </xf>
    <xf numFmtId="0" fontId="2" fillId="0" borderId="7" xfId="4" applyFont="1" applyBorder="1"/>
    <xf numFmtId="165" fontId="44" fillId="3" borderId="5" xfId="4" applyNumberFormat="1" applyFont="1" applyFill="1" applyBorder="1"/>
    <xf numFmtId="0" fontId="1" fillId="0" borderId="4" xfId="4" applyFont="1" applyFill="1" applyBorder="1" applyAlignment="1">
      <alignment horizontal="left"/>
    </xf>
    <xf numFmtId="0" fontId="30" fillId="0" borderId="0" xfId="0" applyFont="1" applyBorder="1" applyAlignment="1">
      <alignment horizontal="center" vertical="center" wrapText="1"/>
    </xf>
    <xf numFmtId="0" fontId="30" fillId="0" borderId="0" xfId="0" applyFont="1" applyBorder="1" applyAlignment="1">
      <alignment horizontal="center" vertical="center"/>
    </xf>
    <xf numFmtId="0" fontId="7" fillId="2" borderId="12" xfId="0" applyFont="1" applyFill="1" applyBorder="1" applyAlignment="1">
      <alignment horizontal="left"/>
    </xf>
    <xf numFmtId="0" fontId="7" fillId="2" borderId="14" xfId="0" applyFont="1" applyFill="1" applyBorder="1" applyAlignment="1">
      <alignment horizontal="left"/>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17" fillId="0" borderId="0" xfId="0" applyFont="1" applyAlignment="1">
      <alignment horizontal="center" wrapText="1"/>
    </xf>
    <xf numFmtId="0" fontId="39" fillId="0" borderId="5" xfId="0" applyFont="1" applyBorder="1" applyAlignment="1">
      <alignment horizontal="center" vertical="center" wrapText="1"/>
    </xf>
    <xf numFmtId="0" fontId="39" fillId="0" borderId="8" xfId="0" applyFont="1" applyBorder="1" applyAlignment="1">
      <alignment horizontal="center" vertical="center"/>
    </xf>
    <xf numFmtId="0" fontId="0" fillId="0" borderId="5" xfId="0" applyFont="1" applyBorder="1" applyAlignment="1">
      <alignment horizontal="center" vertical="center" wrapText="1"/>
    </xf>
    <xf numFmtId="0" fontId="0" fillId="0" borderId="5" xfId="0" applyFont="1" applyBorder="1" applyAlignment="1">
      <alignment horizontal="center" vertical="center"/>
    </xf>
    <xf numFmtId="0" fontId="0" fillId="3" borderId="6" xfId="0" applyFont="1" applyFill="1" applyBorder="1" applyAlignment="1">
      <alignment horizontal="center"/>
    </xf>
    <xf numFmtId="0" fontId="0" fillId="3" borderId="7" xfId="0" applyFont="1" applyFill="1" applyBorder="1" applyAlignment="1">
      <alignment horizontal="center"/>
    </xf>
    <xf numFmtId="0" fontId="0" fillId="3" borderId="8" xfId="0" applyFont="1" applyFill="1" applyBorder="1" applyAlignment="1">
      <alignment horizontal="center"/>
    </xf>
    <xf numFmtId="0" fontId="6" fillId="2" borderId="0" xfId="0" applyFont="1" applyFill="1" applyBorder="1" applyAlignment="1">
      <alignment horizontal="left"/>
    </xf>
    <xf numFmtId="0" fontId="13" fillId="0" borderId="0" xfId="0" applyFont="1" applyAlignment="1">
      <alignment horizontal="left"/>
    </xf>
    <xf numFmtId="0" fontId="35" fillId="0" borderId="1" xfId="0"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6" fillId="2" borderId="5" xfId="0" applyFont="1" applyFill="1" applyBorder="1" applyAlignment="1">
      <alignment horizontal="left"/>
    </xf>
    <xf numFmtId="0" fontId="7" fillId="2" borderId="5" xfId="0" applyFont="1" applyFill="1" applyBorder="1" applyAlignment="1">
      <alignment horizontal="center"/>
    </xf>
    <xf numFmtId="0" fontId="0" fillId="0" borderId="14" xfId="0" applyFont="1" applyBorder="1" applyAlignment="1">
      <alignment horizontal="center"/>
    </xf>
    <xf numFmtId="0" fontId="0" fillId="0" borderId="13" xfId="0" applyFont="1" applyBorder="1" applyAlignment="1">
      <alignment horizontal="center"/>
    </xf>
    <xf numFmtId="0" fontId="5" fillId="0" borderId="1" xfId="0" applyFont="1" applyFill="1" applyBorder="1" applyAlignment="1">
      <alignment horizontal="left"/>
    </xf>
    <xf numFmtId="0" fontId="5" fillId="0" borderId="2" xfId="0" applyFont="1" applyFill="1" applyBorder="1" applyAlignment="1">
      <alignment horizontal="left"/>
    </xf>
    <xf numFmtId="0" fontId="5" fillId="0" borderId="3" xfId="0" applyFont="1" applyFill="1" applyBorder="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xf>
    <xf numFmtId="0" fontId="5" fillId="0" borderId="4" xfId="0" applyFont="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42" fillId="2" borderId="4" xfId="4" applyFont="1" applyFill="1" applyBorder="1" applyAlignment="1">
      <alignment horizontal="center"/>
    </xf>
    <xf numFmtId="0" fontId="42" fillId="2" borderId="0" xfId="4" applyFont="1" applyFill="1" applyAlignment="1">
      <alignment horizontal="center"/>
    </xf>
    <xf numFmtId="0" fontId="4" fillId="0" borderId="1" xfId="4" applyBorder="1" applyAlignment="1">
      <alignment horizontal="center" vertical="center"/>
    </xf>
    <xf numFmtId="0" fontId="4" fillId="0" borderId="3" xfId="4" applyBorder="1" applyAlignment="1">
      <alignment horizontal="center" vertical="center"/>
    </xf>
    <xf numFmtId="0" fontId="4" fillId="0" borderId="4" xfId="4" applyBorder="1" applyAlignment="1">
      <alignment horizontal="center" vertical="center"/>
    </xf>
    <xf numFmtId="0" fontId="4" fillId="0" borderId="5" xfId="4" applyBorder="1" applyAlignment="1">
      <alignment horizontal="center" vertical="center"/>
    </xf>
    <xf numFmtId="0" fontId="4" fillId="0" borderId="6" xfId="4" applyBorder="1" applyAlignment="1">
      <alignment horizontal="center" vertical="center"/>
    </xf>
    <xf numFmtId="0" fontId="4" fillId="0" borderId="8" xfId="4" applyBorder="1" applyAlignment="1">
      <alignment horizontal="center" vertical="center"/>
    </xf>
    <xf numFmtId="0" fontId="7" fillId="2" borderId="0" xfId="0" applyFont="1" applyFill="1" applyAlignment="1">
      <alignment horizontal="left"/>
    </xf>
    <xf numFmtId="0" fontId="5" fillId="0" borderId="0" xfId="0" applyFont="1" applyAlignment="1">
      <alignment horizontal="left" vertical="top" wrapText="1"/>
    </xf>
    <xf numFmtId="0" fontId="0" fillId="0" borderId="0" xfId="0" applyFont="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5" fillId="0" borderId="2" xfId="0" applyFont="1" applyBorder="1" applyAlignment="1">
      <alignment horizontal="left" wrapText="1"/>
    </xf>
    <xf numFmtId="0" fontId="17" fillId="0" borderId="0" xfId="0" applyFont="1" applyAlignment="1">
      <alignment horizontal="left"/>
    </xf>
    <xf numFmtId="0" fontId="5" fillId="0" borderId="1" xfId="0" applyFont="1" applyBorder="1" applyAlignment="1">
      <alignment horizontal="center" wrapText="1"/>
    </xf>
    <xf numFmtId="0" fontId="5" fillId="0" borderId="3" xfId="0"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0" fontId="16" fillId="0" borderId="3" xfId="0" applyFont="1" applyBorder="1" applyAlignment="1"/>
    <xf numFmtId="0" fontId="16" fillId="0" borderId="5" xfId="0" applyFont="1" applyBorder="1" applyAlignment="1"/>
    <xf numFmtId="0" fontId="19" fillId="3" borderId="15" xfId="0" applyFont="1" applyFill="1" applyBorder="1" applyAlignment="1"/>
    <xf numFmtId="0" fontId="0" fillId="0" borderId="9" xfId="0" applyFont="1" applyBorder="1" applyAlignment="1"/>
    <xf numFmtId="0" fontId="30" fillId="0" borderId="10" xfId="0" applyFont="1" applyBorder="1" applyAlignment="1"/>
    <xf numFmtId="0" fontId="0" fillId="0" borderId="10" xfId="0" applyFont="1" applyBorder="1" applyAlignment="1"/>
    <xf numFmtId="0" fontId="30" fillId="0" borderId="11" xfId="0" applyFont="1" applyBorder="1" applyAlignment="1"/>
  </cellXfs>
  <cellStyles count="5">
    <cellStyle name="Explanatory Text" xfId="3" builtinId="53"/>
    <cellStyle name="Hyperlink" xfId="1" builtinId="8"/>
    <cellStyle name="Normal" xfId="0" builtinId="0"/>
    <cellStyle name="Normal 2" xfId="2" xr:uid="{00000000-0005-0000-0000-000003000000}"/>
    <cellStyle name="Normal 3" xfId="4" xr:uid="{00000000-0005-0000-0000-000004000000}"/>
  </cellStyles>
  <dxfs count="16">
    <dxf>
      <font>
        <b/>
        <i/>
        <strike val="0"/>
        <color theme="0"/>
      </font>
      <fill>
        <patternFill>
          <bgColor rgb="FFFF0000"/>
        </patternFill>
      </fill>
      <border>
        <vertical/>
        <horizontal/>
      </border>
    </dxf>
    <dxf>
      <font>
        <b/>
        <i/>
        <color theme="0"/>
      </font>
      <fill>
        <patternFill>
          <bgColor rgb="FF00B050"/>
        </patternFill>
      </fill>
      <border>
        <vertical/>
        <horizontal/>
      </border>
    </dxf>
    <dxf>
      <font>
        <b/>
        <i/>
        <color theme="0"/>
      </font>
      <fill>
        <patternFill>
          <bgColor rgb="FFFF0000"/>
        </patternFill>
      </fill>
    </dxf>
    <dxf>
      <font>
        <b/>
        <i/>
        <strike val="0"/>
        <color theme="0"/>
      </font>
      <fill>
        <patternFill>
          <bgColor rgb="FF00B05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strike val="0"/>
        <color theme="0"/>
      </font>
      <fill>
        <patternFill>
          <bgColor rgb="FF00B050"/>
        </patternFill>
      </fill>
    </dxf>
    <dxf>
      <font>
        <b/>
        <i/>
        <color theme="0"/>
      </font>
      <fill>
        <patternFill>
          <bgColor rgb="FFFF0000"/>
        </patternFill>
      </fill>
    </dxf>
    <dxf>
      <font>
        <b/>
        <i/>
        <color theme="0"/>
      </font>
      <fill>
        <patternFill>
          <bgColor rgb="FFFF0000"/>
        </patternFill>
      </fill>
    </dxf>
    <dxf>
      <font>
        <b/>
        <i/>
        <strike val="0"/>
        <color theme="0"/>
      </font>
      <fill>
        <patternFill>
          <bgColor rgb="FFFF0000"/>
        </patternFill>
      </fill>
      <border>
        <vertical/>
        <horizontal/>
      </border>
    </dxf>
    <dxf>
      <font>
        <b/>
        <i/>
        <color theme="0"/>
      </font>
      <fill>
        <patternFill>
          <bgColor rgb="FF00B050"/>
        </patternFill>
      </fill>
      <border>
        <vertical/>
        <horizontal/>
      </border>
    </dxf>
    <dxf>
      <font>
        <b/>
        <i/>
        <strike val="0"/>
        <color theme="0"/>
      </font>
      <fill>
        <patternFill>
          <bgColor rgb="FFFF0000"/>
        </patternFill>
      </fill>
      <border>
        <vertical/>
        <horizontal/>
      </border>
    </dxf>
    <dxf>
      <font>
        <b/>
        <i/>
        <color theme="0"/>
      </font>
      <fill>
        <patternFill>
          <bgColor rgb="FF00B050"/>
        </patternFill>
      </fill>
      <border>
        <vertical/>
        <horizontal/>
      </border>
    </dxf>
    <dxf>
      <font>
        <b/>
        <i/>
        <color theme="0"/>
      </font>
      <fill>
        <patternFill>
          <bgColor rgb="FFFF0000"/>
        </patternFill>
      </fill>
    </dxf>
    <dxf>
      <font>
        <b/>
        <i/>
        <strike val="0"/>
        <color theme="0"/>
      </font>
      <fill>
        <patternFill>
          <bgColor rgb="FF00B050"/>
        </patternFill>
      </fill>
    </dxf>
  </dxfs>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Length of Flat Tip in Measured Tools </a:t>
            </a:r>
          </a:p>
        </c:rich>
      </c:tx>
      <c:overlay val="0"/>
    </c:title>
    <c:autoTitleDeleted val="0"/>
    <c:plotArea>
      <c:layout/>
      <c:scatterChart>
        <c:scatterStyle val="smoothMarker"/>
        <c:varyColors val="0"/>
        <c:ser>
          <c:idx val="0"/>
          <c:order val="0"/>
          <c:tx>
            <c:strRef>
              <c:f>'Threadmill Crest'!$D$3</c:f>
              <c:strCache>
                <c:ptCount val="1"/>
                <c:pt idx="0">
                  <c:v>Flat Length </c:v>
                </c:pt>
              </c:strCache>
            </c:strRef>
          </c:tx>
          <c:trendline>
            <c:trendlineType val="linear"/>
            <c:dispRSqr val="0"/>
            <c:dispEq val="0"/>
          </c:trendline>
          <c:xVal>
            <c:numRef>
              <c:f>'Threadmill Crest'!$C$4:$C$9</c:f>
              <c:numCache>
                <c:formatCode>General</c:formatCode>
                <c:ptCount val="6"/>
                <c:pt idx="0">
                  <c:v>0.16</c:v>
                </c:pt>
                <c:pt idx="1">
                  <c:v>0.188</c:v>
                </c:pt>
                <c:pt idx="2">
                  <c:v>0.35</c:v>
                </c:pt>
                <c:pt idx="3">
                  <c:v>0.38800000000000001</c:v>
                </c:pt>
                <c:pt idx="4">
                  <c:v>0.49</c:v>
                </c:pt>
                <c:pt idx="5">
                  <c:v>0.495</c:v>
                </c:pt>
              </c:numCache>
            </c:numRef>
          </c:xVal>
          <c:yVal>
            <c:numRef>
              <c:f>'Threadmill Crest'!$D$4:$D$9</c:f>
              <c:numCache>
                <c:formatCode>General</c:formatCode>
                <c:ptCount val="6"/>
                <c:pt idx="0">
                  <c:v>5.0000000000000001E-4</c:v>
                </c:pt>
                <c:pt idx="1">
                  <c:v>3.0000000000000001E-3</c:v>
                </c:pt>
                <c:pt idx="2">
                  <c:v>3.0000000000000001E-3</c:v>
                </c:pt>
                <c:pt idx="3">
                  <c:v>3.5000000000000001E-3</c:v>
                </c:pt>
                <c:pt idx="4">
                  <c:v>5.0000000000000001E-3</c:v>
                </c:pt>
                <c:pt idx="5">
                  <c:v>4.4999999999999997E-3</c:v>
                </c:pt>
              </c:numCache>
            </c:numRef>
          </c:yVal>
          <c:smooth val="1"/>
          <c:extLst>
            <c:ext xmlns:c16="http://schemas.microsoft.com/office/drawing/2014/chart" uri="{C3380CC4-5D6E-409C-BE32-E72D297353CC}">
              <c16:uniqueId val="{00000001-AD59-46E7-9A4A-950A9950D08F}"/>
            </c:ext>
          </c:extLst>
        </c:ser>
        <c:dLbls>
          <c:showLegendKey val="0"/>
          <c:showVal val="0"/>
          <c:showCatName val="0"/>
          <c:showSerName val="0"/>
          <c:showPercent val="0"/>
          <c:showBubbleSize val="0"/>
        </c:dLbls>
        <c:axId val="57746944"/>
        <c:axId val="57748864"/>
      </c:scatterChart>
      <c:valAx>
        <c:axId val="57746944"/>
        <c:scaling>
          <c:orientation val="minMax"/>
          <c:max val="0.49500000000000005"/>
          <c:min val="0.15000000000000002"/>
        </c:scaling>
        <c:delete val="0"/>
        <c:axPos val="b"/>
        <c:title>
          <c:tx>
            <c:rich>
              <a:bodyPr/>
              <a:lstStyle/>
              <a:p>
                <a:pPr>
                  <a:defRPr/>
                </a:pPr>
                <a:r>
                  <a:rPr lang="en-US"/>
                  <a:t>Cutting Diameter</a:t>
                </a:r>
              </a:p>
            </c:rich>
          </c:tx>
          <c:overlay val="0"/>
        </c:title>
        <c:numFmt formatCode="General" sourceLinked="1"/>
        <c:majorTickMark val="out"/>
        <c:minorTickMark val="none"/>
        <c:tickLblPos val="nextTo"/>
        <c:crossAx val="57748864"/>
        <c:crosses val="autoZero"/>
        <c:crossBetween val="midCat"/>
        <c:majorUnit val="5.000000000000001E-2"/>
        <c:minorUnit val="2.5000000000000005E-2"/>
      </c:valAx>
      <c:valAx>
        <c:axId val="57748864"/>
        <c:scaling>
          <c:orientation val="minMax"/>
        </c:scaling>
        <c:delete val="0"/>
        <c:axPos val="l"/>
        <c:majorGridlines/>
        <c:title>
          <c:tx>
            <c:rich>
              <a:bodyPr rot="-5400000" vert="horz"/>
              <a:lstStyle/>
              <a:p>
                <a:pPr>
                  <a:defRPr/>
                </a:pPr>
                <a:r>
                  <a:rPr lang="en-US"/>
                  <a:t>Length of</a:t>
                </a:r>
                <a:r>
                  <a:rPr lang="en-US" baseline="0"/>
                  <a:t> Flat</a:t>
                </a:r>
                <a:endParaRPr lang="en-US"/>
              </a:p>
            </c:rich>
          </c:tx>
          <c:overlay val="0"/>
        </c:title>
        <c:numFmt formatCode="General" sourceLinked="1"/>
        <c:majorTickMark val="out"/>
        <c:minorTickMark val="none"/>
        <c:tickLblPos val="nextTo"/>
        <c:crossAx val="577469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52</xdr:row>
      <xdr:rowOff>11206</xdr:rowOff>
    </xdr:from>
    <xdr:to>
      <xdr:col>12</xdr:col>
      <xdr:colOff>0</xdr:colOff>
      <xdr:row>71</xdr:row>
      <xdr:rowOff>2656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882" y="10365441"/>
          <a:ext cx="14130618" cy="38238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52</xdr:row>
      <xdr:rowOff>11206</xdr:rowOff>
    </xdr:from>
    <xdr:to>
      <xdr:col>11</xdr:col>
      <xdr:colOff>1456765</xdr:colOff>
      <xdr:row>71</xdr:row>
      <xdr:rowOff>5688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9941" y="10298206"/>
          <a:ext cx="14141824" cy="38268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9525</xdr:colOff>
      <xdr:row>20</xdr:row>
      <xdr:rowOff>0</xdr:rowOff>
    </xdr:from>
    <xdr:ext cx="4343399" cy="28575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3810000"/>
          <a:ext cx="4343399" cy="28575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2</xdr:col>
      <xdr:colOff>2266949</xdr:colOff>
      <xdr:row>36</xdr:row>
      <xdr:rowOff>7373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4076700"/>
          <a:ext cx="4343399" cy="286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9</xdr:row>
      <xdr:rowOff>4762</xdr:rowOff>
    </xdr:from>
    <xdr:to>
      <xdr:col>3</xdr:col>
      <xdr:colOff>933450</xdr:colOff>
      <xdr:row>10</xdr:row>
      <xdr:rowOff>3095624</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1</xdr:row>
      <xdr:rowOff>0</xdr:rowOff>
    </xdr:from>
    <xdr:to>
      <xdr:col>15</xdr:col>
      <xdr:colOff>391516</xdr:colOff>
      <xdr:row>16</xdr:row>
      <xdr:rowOff>67588</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0" y="161925"/>
          <a:ext cx="7097116" cy="65350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9524</xdr:colOff>
      <xdr:row>2</xdr:row>
      <xdr:rowOff>9525</xdr:rowOff>
    </xdr:from>
    <xdr:to>
      <xdr:col>19</xdr:col>
      <xdr:colOff>609599</xdr:colOff>
      <xdr:row>35</xdr:row>
      <xdr:rowOff>19050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8724" y="333375"/>
          <a:ext cx="11572875" cy="5353050"/>
        </a:xfrm>
        <a:prstGeom prst="rect">
          <a:avLst/>
        </a:prstGeom>
      </xdr:spPr>
    </xdr:pic>
    <xdr:clientData/>
  </xdr:twoCellAnchor>
  <xdr:twoCellAnchor editAs="oneCell">
    <xdr:from>
      <xdr:col>1</xdr:col>
      <xdr:colOff>9525</xdr:colOff>
      <xdr:row>37</xdr:row>
      <xdr:rowOff>0</xdr:rowOff>
    </xdr:from>
    <xdr:to>
      <xdr:col>20</xdr:col>
      <xdr:colOff>0</xdr:colOff>
      <xdr:row>74</xdr:row>
      <xdr:rowOff>9525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8725" y="5991225"/>
          <a:ext cx="11572875" cy="6000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http://www.lakeshorecarbide.com/12singleprofilethreadmill34loc388cutdia12-32rang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M47"/>
  <sheetViews>
    <sheetView topLeftCell="B1" workbookViewId="0">
      <selection activeCell="C14" sqref="C14"/>
    </sheetView>
  </sheetViews>
  <sheetFormatPr defaultRowHeight="12.75" outlineLevelRow="1" outlineLevelCol="1" x14ac:dyDescent="0.2"/>
  <cols>
    <col min="2" max="2" width="13.5703125" customWidth="1"/>
    <col min="3" max="3" width="18.5703125" customWidth="1"/>
    <col min="4" max="4" width="10.42578125" customWidth="1"/>
    <col min="5" max="5" width="12.28515625" hidden="1" customWidth="1" outlineLevel="1"/>
    <col min="6" max="6" width="12" hidden="1" customWidth="1" outlineLevel="1"/>
    <col min="7" max="7" width="16.42578125" style="88" hidden="1" customWidth="1" outlineLevel="1"/>
    <col min="8" max="8" width="10.42578125" bestFit="1" customWidth="1" collapsed="1"/>
    <col min="9" max="9" width="14.42578125" customWidth="1"/>
    <col min="11" max="11" width="28.42578125" bestFit="1" customWidth="1"/>
    <col min="12" max="12" width="30.28515625" bestFit="1" customWidth="1"/>
    <col min="13" max="13" width="6.5703125" customWidth="1"/>
    <col min="14" max="14" width="11.5703125" customWidth="1"/>
    <col min="15" max="15" width="16.42578125" customWidth="1"/>
    <col min="16" max="16" width="10.42578125" bestFit="1" customWidth="1"/>
    <col min="17" max="17" width="11.7109375" bestFit="1" customWidth="1"/>
    <col min="19" max="19" width="11.5703125" bestFit="1" customWidth="1"/>
    <col min="20" max="20" width="9.7109375" bestFit="1" customWidth="1"/>
    <col min="21" max="21" width="9.7109375" customWidth="1"/>
    <col min="22" max="22" width="6.5703125" customWidth="1"/>
    <col min="23" max="23" width="12" customWidth="1"/>
    <col min="24" max="24" width="14.5703125" customWidth="1"/>
    <col min="25" max="25" width="9.5703125" bestFit="1" customWidth="1"/>
    <col min="26" max="26" width="10.28515625" bestFit="1" customWidth="1"/>
  </cols>
  <sheetData>
    <row r="4" spans="2:9" x14ac:dyDescent="0.2">
      <c r="B4" s="4" t="s">
        <v>146</v>
      </c>
      <c r="C4" s="6"/>
      <c r="D4" s="6"/>
      <c r="E4" s="6"/>
      <c r="F4" s="6"/>
      <c r="G4" s="6"/>
      <c r="H4" s="6"/>
    </row>
    <row r="5" spans="2:9" ht="15" x14ac:dyDescent="0.25">
      <c r="B5" s="22" t="s">
        <v>44</v>
      </c>
      <c r="G5"/>
      <c r="H5" s="177">
        <v>0.08</v>
      </c>
      <c r="I5" s="203" t="s">
        <v>155</v>
      </c>
    </row>
    <row r="6" spans="2:9" x14ac:dyDescent="0.2">
      <c r="B6" s="12" t="s">
        <v>88</v>
      </c>
      <c r="G6"/>
      <c r="H6" s="178">
        <v>8.0000000000000004E-4</v>
      </c>
    </row>
    <row r="7" spans="2:9" ht="12.75" hidden="1" customHeight="1" outlineLevel="1" x14ac:dyDescent="0.2">
      <c r="B7" s="92" t="s">
        <v>74</v>
      </c>
      <c r="G7"/>
      <c r="H7" s="179">
        <f>H6*(SQRT(3)/2)</f>
        <v>6.9282032302755091E-4</v>
      </c>
    </row>
    <row r="8" spans="2:9" ht="12.75" customHeight="1" collapsed="1" x14ac:dyDescent="0.25">
      <c r="B8" s="20" t="s">
        <v>79</v>
      </c>
      <c r="G8"/>
      <c r="H8" s="177">
        <v>0.04</v>
      </c>
      <c r="I8" s="204" t="s">
        <v>156</v>
      </c>
    </row>
    <row r="9" spans="2:9" ht="15" customHeight="1" outlineLevel="1" x14ac:dyDescent="0.2">
      <c r="B9" s="92" t="s">
        <v>80</v>
      </c>
      <c r="C9" s="2"/>
      <c r="D9" s="2"/>
      <c r="E9" s="2"/>
      <c r="F9" s="2"/>
      <c r="G9" s="2"/>
      <c r="H9" s="202">
        <f>H5-H8</f>
        <v>0.04</v>
      </c>
    </row>
    <row r="10" spans="2:9" ht="0.75" customHeight="1" x14ac:dyDescent="0.2">
      <c r="B10" s="15"/>
      <c r="C10" s="16"/>
      <c r="D10" s="16"/>
      <c r="E10" s="16"/>
      <c r="F10" s="16"/>
      <c r="G10" s="16"/>
      <c r="H10" s="23"/>
    </row>
    <row r="11" spans="2:9" x14ac:dyDescent="0.2">
      <c r="B11" s="102"/>
    </row>
    <row r="12" spans="2:9" x14ac:dyDescent="0.2">
      <c r="B12" s="199" t="s">
        <v>153</v>
      </c>
      <c r="C12" s="190"/>
      <c r="D12" s="190"/>
      <c r="E12" s="5"/>
      <c r="F12" s="180"/>
      <c r="G12" s="191"/>
      <c r="H12" s="181"/>
      <c r="I12" s="185"/>
    </row>
    <row r="13" spans="2:9" x14ac:dyDescent="0.2">
      <c r="B13" s="193" t="s">
        <v>115</v>
      </c>
      <c r="C13" s="192" t="s">
        <v>150</v>
      </c>
      <c r="D13" s="192" t="s">
        <v>151</v>
      </c>
      <c r="E13" s="192" t="s">
        <v>147</v>
      </c>
      <c r="F13" s="192" t="s">
        <v>148</v>
      </c>
      <c r="G13" s="192" t="s">
        <v>149</v>
      </c>
      <c r="H13" s="192" t="s">
        <v>116</v>
      </c>
      <c r="I13" s="194" t="s">
        <v>81</v>
      </c>
    </row>
    <row r="14" spans="2:9" x14ac:dyDescent="0.2">
      <c r="B14" s="195" t="s">
        <v>117</v>
      </c>
      <c r="C14" s="182" t="s">
        <v>189</v>
      </c>
      <c r="D14" s="182">
        <v>8.8999999999999996E-2</v>
      </c>
      <c r="E14" s="41">
        <f>(0.112-0.089)</f>
        <v>2.3000000000000007E-2</v>
      </c>
      <c r="F14" s="41">
        <f t="shared" ref="F14:F26" si="0">((E14/2)/0.625)*2*0.125</f>
        <v>4.6000000000000017E-3</v>
      </c>
      <c r="G14" s="14">
        <f>-2*(H6*(SQRT(3)/2))</f>
        <v>-1.3856406460551018E-3</v>
      </c>
      <c r="H14" s="123">
        <f>E14+F14+G14</f>
        <v>2.6214359353944904E-2</v>
      </c>
      <c r="I14" s="86" t="str">
        <f>IF(H5&gt;D14,"Wrong Tool",IF(H14&gt;H9,"Wrong Tool", "Good"))</f>
        <v>Good</v>
      </c>
    </row>
    <row r="15" spans="2:9" x14ac:dyDescent="0.2">
      <c r="B15" s="195" t="s">
        <v>118</v>
      </c>
      <c r="C15" s="182" t="s">
        <v>132</v>
      </c>
      <c r="D15" s="182">
        <v>0.1065</v>
      </c>
      <c r="E15" s="41">
        <f>(0.138-0.1065)</f>
        <v>3.1500000000000014E-2</v>
      </c>
      <c r="F15" s="41">
        <f t="shared" si="0"/>
        <v>6.3000000000000026E-3</v>
      </c>
      <c r="G15" s="14">
        <f>G14</f>
        <v>-1.3856406460551018E-3</v>
      </c>
      <c r="H15" s="123">
        <f t="shared" ref="H15:H28" si="1">E15+F15+G15</f>
        <v>3.6414359353944915E-2</v>
      </c>
      <c r="I15" s="86" t="str">
        <f>IF(H5&gt;D15,"Wrong Tool",IF(H15&gt;H9,"Wrong Tool", "Good"))</f>
        <v>Good</v>
      </c>
    </row>
    <row r="16" spans="2:9" x14ac:dyDescent="0.2">
      <c r="B16" s="195" t="s">
        <v>119</v>
      </c>
      <c r="C16" s="182" t="s">
        <v>133</v>
      </c>
      <c r="D16" s="182">
        <v>0.13600000000000001</v>
      </c>
      <c r="E16" s="41">
        <f>(0.164-0.136)</f>
        <v>2.7999999999999997E-2</v>
      </c>
      <c r="F16" s="41">
        <f t="shared" si="0"/>
        <v>5.5999999999999991E-3</v>
      </c>
      <c r="G16" s="14">
        <f t="shared" ref="G16:G28" si="2">G15</f>
        <v>-1.3856406460551018E-3</v>
      </c>
      <c r="H16" s="123">
        <f t="shared" si="1"/>
        <v>3.2214359353944899E-2</v>
      </c>
      <c r="I16" s="86" t="str">
        <f>IF(H5&gt;D16,"Wrong Tool",IF(H16&gt;H9,"Wrong Tool", "Good"))</f>
        <v>Good</v>
      </c>
    </row>
    <row r="17" spans="2:13" x14ac:dyDescent="0.2">
      <c r="B17" s="195" t="s">
        <v>120</v>
      </c>
      <c r="C17" s="182" t="s">
        <v>134</v>
      </c>
      <c r="D17" s="182">
        <v>0.14949999999999999</v>
      </c>
      <c r="E17" s="41">
        <f>(0.19-0.1495)</f>
        <v>4.0500000000000008E-2</v>
      </c>
      <c r="F17" s="41">
        <f t="shared" si="0"/>
        <v>8.1000000000000013E-3</v>
      </c>
      <c r="G17" s="14">
        <f t="shared" si="2"/>
        <v>-1.3856406460551018E-3</v>
      </c>
      <c r="H17" s="123">
        <f t="shared" si="1"/>
        <v>4.7214359353944912E-2</v>
      </c>
      <c r="I17" s="86" t="str">
        <f>IF(H5&gt;D17,"Wrong Tool",IF(H17&gt;H9,"Wrong Tool", "Good"))</f>
        <v>Wrong Tool</v>
      </c>
    </row>
    <row r="18" spans="2:13" x14ac:dyDescent="0.2">
      <c r="B18" s="195" t="s">
        <v>121</v>
      </c>
      <c r="C18" s="182" t="s">
        <v>135</v>
      </c>
      <c r="D18" s="182">
        <v>0.159</v>
      </c>
      <c r="E18" s="41">
        <f>(0.19-0.159)</f>
        <v>3.1E-2</v>
      </c>
      <c r="F18" s="41">
        <f t="shared" si="0"/>
        <v>6.1999999999999998E-3</v>
      </c>
      <c r="G18" s="14">
        <f t="shared" si="2"/>
        <v>-1.3856406460551018E-3</v>
      </c>
      <c r="H18" s="123">
        <f t="shared" si="1"/>
        <v>3.5814359353944898E-2</v>
      </c>
      <c r="I18" s="86" t="str">
        <f>IF(H5&gt;D18,"Wrong Tool",IF(H18&gt;H9,"Wrong Tool", "Good"))</f>
        <v>Good</v>
      </c>
    </row>
    <row r="19" spans="2:13" x14ac:dyDescent="0.2">
      <c r="B19" s="195" t="s">
        <v>122</v>
      </c>
      <c r="C19" s="182" t="s">
        <v>136</v>
      </c>
      <c r="D19" s="182">
        <v>0.20100000000000001</v>
      </c>
      <c r="E19" s="41">
        <f>(0.25-0.201)</f>
        <v>4.8999999999999988E-2</v>
      </c>
      <c r="F19" s="41">
        <f t="shared" si="0"/>
        <v>9.7999999999999979E-3</v>
      </c>
      <c r="G19" s="14">
        <f>G18</f>
        <v>-1.3856406460551018E-3</v>
      </c>
      <c r="H19" s="123">
        <f t="shared" si="1"/>
        <v>5.7414359353944885E-2</v>
      </c>
      <c r="I19" s="86" t="str">
        <f>IF(H5&gt;D19,"Wrong Tool",IF(H19&gt;H9,"Wrong Tool", "Good"))</f>
        <v>Wrong Tool</v>
      </c>
    </row>
    <row r="20" spans="2:13" x14ac:dyDescent="0.2">
      <c r="B20" s="195" t="s">
        <v>123</v>
      </c>
      <c r="C20" s="182" t="s">
        <v>137</v>
      </c>
      <c r="D20" s="182">
        <v>0.21299999999999999</v>
      </c>
      <c r="E20" s="41">
        <f>(0.25-0.213)</f>
        <v>3.7000000000000005E-2</v>
      </c>
      <c r="F20" s="41">
        <f t="shared" si="0"/>
        <v>7.4000000000000012E-3</v>
      </c>
      <c r="G20" s="14">
        <f t="shared" si="2"/>
        <v>-1.3856406460551018E-3</v>
      </c>
      <c r="H20" s="123">
        <f t="shared" si="1"/>
        <v>4.301435935394491E-2</v>
      </c>
      <c r="I20" s="86" t="str">
        <f>IF(H5&gt;D20,"Wrong Tool",IF(H20&gt;H9,"Wrong Tool", "Good"))</f>
        <v>Wrong Tool</v>
      </c>
    </row>
    <row r="21" spans="2:13" x14ac:dyDescent="0.2">
      <c r="B21" s="195" t="s">
        <v>124</v>
      </c>
      <c r="C21" s="182" t="s">
        <v>138</v>
      </c>
      <c r="D21" s="182">
        <v>0.25700000000000001</v>
      </c>
      <c r="E21" s="41">
        <f>(0.3125-0.257)</f>
        <v>5.5499999999999994E-2</v>
      </c>
      <c r="F21" s="41">
        <f t="shared" si="0"/>
        <v>1.1099999999999999E-2</v>
      </c>
      <c r="G21" s="14">
        <f t="shared" si="2"/>
        <v>-1.3856406460551018E-3</v>
      </c>
      <c r="H21" s="123">
        <f t="shared" si="1"/>
        <v>6.5214359353944887E-2</v>
      </c>
      <c r="I21" s="86" t="str">
        <f>IF(H5&gt;D21,"Wrong Tool",IF(H21&gt;H9,"Wrong Tool", "Good"))</f>
        <v>Wrong Tool</v>
      </c>
    </row>
    <row r="22" spans="2:13" x14ac:dyDescent="0.2">
      <c r="B22" s="195" t="s">
        <v>125</v>
      </c>
      <c r="C22" s="182" t="s">
        <v>139</v>
      </c>
      <c r="D22" s="182">
        <v>0.27200000000000002</v>
      </c>
      <c r="E22" s="41">
        <f>(0.3125-0.272)</f>
        <v>4.049999999999998E-2</v>
      </c>
      <c r="F22" s="41">
        <f t="shared" si="0"/>
        <v>8.0999999999999961E-3</v>
      </c>
      <c r="G22" s="14">
        <f t="shared" si="2"/>
        <v>-1.3856406460551018E-3</v>
      </c>
      <c r="H22" s="123">
        <f t="shared" si="1"/>
        <v>4.7214359353944878E-2</v>
      </c>
      <c r="I22" s="86" t="str">
        <f>IF(H5&gt;D22,"Wrong Tool",IF(H22&gt;H9,"Wrong Tool", "Good"))</f>
        <v>Wrong Tool</v>
      </c>
    </row>
    <row r="23" spans="2:13" x14ac:dyDescent="0.2">
      <c r="B23" s="195" t="s">
        <v>126</v>
      </c>
      <c r="C23" s="186" t="s">
        <v>140</v>
      </c>
      <c r="D23" s="188">
        <v>0.3125</v>
      </c>
      <c r="E23" s="41">
        <f>(0.375-(5/16))</f>
        <v>6.25E-2</v>
      </c>
      <c r="F23" s="41">
        <f t="shared" si="0"/>
        <v>1.2500000000000001E-2</v>
      </c>
      <c r="G23" s="14">
        <f t="shared" si="2"/>
        <v>-1.3856406460551018E-3</v>
      </c>
      <c r="H23" s="123">
        <f t="shared" si="1"/>
        <v>7.3614359353944891E-2</v>
      </c>
      <c r="I23" s="86" t="str">
        <f>IF(H5&gt;D23,"Wrong Tool",IF(H23&gt;H9,"Wrong Tool", "Good"))</f>
        <v>Wrong Tool</v>
      </c>
    </row>
    <row r="24" spans="2:13" x14ac:dyDescent="0.2">
      <c r="B24" s="195" t="s">
        <v>127</v>
      </c>
      <c r="C24" s="182" t="s">
        <v>141</v>
      </c>
      <c r="D24" s="182">
        <v>0.33200000000000002</v>
      </c>
      <c r="E24" s="41">
        <f>(0.375-0.332)</f>
        <v>4.2999999999999983E-2</v>
      </c>
      <c r="F24" s="41">
        <f t="shared" si="0"/>
        <v>8.5999999999999965E-3</v>
      </c>
      <c r="G24" s="14">
        <f t="shared" si="2"/>
        <v>-1.3856406460551018E-3</v>
      </c>
      <c r="H24" s="123">
        <f t="shared" si="1"/>
        <v>5.021435935394488E-2</v>
      </c>
      <c r="I24" s="86" t="str">
        <f>IF(H5&gt;D24,"Wrong Tool",IF(H24&gt;H9,"Wrong Tool", "Good"))</f>
        <v>Wrong Tool</v>
      </c>
    </row>
    <row r="25" spans="2:13" x14ac:dyDescent="0.2">
      <c r="B25" s="195" t="s">
        <v>128</v>
      </c>
      <c r="C25" s="182" t="s">
        <v>142</v>
      </c>
      <c r="D25" s="182">
        <v>0.36799999999999999</v>
      </c>
      <c r="E25" s="41">
        <f>(0.4375-0.368)</f>
        <v>6.9500000000000006E-2</v>
      </c>
      <c r="F25" s="41">
        <f t="shared" si="0"/>
        <v>1.3900000000000001E-2</v>
      </c>
      <c r="G25" s="14">
        <f t="shared" si="2"/>
        <v>-1.3856406460551018E-3</v>
      </c>
      <c r="H25" s="123">
        <f t="shared" si="1"/>
        <v>8.2014359353944896E-2</v>
      </c>
      <c r="I25" s="86" t="str">
        <f>IF(H5&gt;D25,"Wrong Tool",IF(H25&gt;H9,"Wrong Tool", "Good"))</f>
        <v>Wrong Tool</v>
      </c>
    </row>
    <row r="26" spans="2:13" x14ac:dyDescent="0.2">
      <c r="B26" s="195" t="s">
        <v>129</v>
      </c>
      <c r="C26" s="182" t="s">
        <v>143</v>
      </c>
      <c r="D26" s="182">
        <v>0.38600000000000001</v>
      </c>
      <c r="E26" s="41">
        <f>(0.4375-0.386)</f>
        <v>5.149999999999999E-2</v>
      </c>
      <c r="F26" s="41">
        <f t="shared" si="0"/>
        <v>1.0299999999999998E-2</v>
      </c>
      <c r="G26" s="14">
        <f t="shared" si="2"/>
        <v>-1.3856406460551018E-3</v>
      </c>
      <c r="H26" s="123">
        <f t="shared" si="1"/>
        <v>6.0414359353944888E-2</v>
      </c>
      <c r="I26" s="86" t="str">
        <f>IF(H5&gt;D26,"Wrong Tool",IF(H26&gt;H9,"Wrong Tool", "Good"))</f>
        <v>Wrong Tool</v>
      </c>
    </row>
    <row r="27" spans="2:13" x14ac:dyDescent="0.2">
      <c r="B27" s="195" t="s">
        <v>130</v>
      </c>
      <c r="C27" s="182" t="s">
        <v>144</v>
      </c>
      <c r="D27" s="182">
        <v>0.4219</v>
      </c>
      <c r="E27" s="41">
        <f>(0.5-(27/64))</f>
        <v>7.8125E-2</v>
      </c>
      <c r="F27" s="41">
        <f>((E27/2)/0.625)*2*0.125</f>
        <v>1.5625E-2</v>
      </c>
      <c r="G27" s="14">
        <f t="shared" si="2"/>
        <v>-1.3856406460551018E-3</v>
      </c>
      <c r="H27" s="123">
        <f t="shared" si="1"/>
        <v>9.2364359353944894E-2</v>
      </c>
      <c r="I27" s="86" t="str">
        <f>IF(H5&gt;D27,"Wrong Tool",IF(H27&gt;H9,"Wrong Tool", "Good"))</f>
        <v>Wrong Tool</v>
      </c>
    </row>
    <row r="28" spans="2:13" x14ac:dyDescent="0.2">
      <c r="B28" s="196" t="s">
        <v>131</v>
      </c>
      <c r="C28" s="187" t="s">
        <v>145</v>
      </c>
      <c r="D28" s="187">
        <v>0.4531</v>
      </c>
      <c r="E28" s="183">
        <f>(0.5-(29/64))</f>
        <v>4.6875E-2</v>
      </c>
      <c r="F28" s="183">
        <f>((E28/2)/0.625)*2*0.125</f>
        <v>9.3749999999999997E-3</v>
      </c>
      <c r="G28" s="96">
        <f t="shared" si="2"/>
        <v>-1.3856406460551018E-3</v>
      </c>
      <c r="H28" s="184">
        <f t="shared" si="1"/>
        <v>5.4864359353944903E-2</v>
      </c>
      <c r="I28" s="86" t="str">
        <f>IF(H5&gt;D28,"Wrong Tool",IF(H28&gt;H9,"Wrong Tool", "Good"))</f>
        <v>Wrong Tool</v>
      </c>
    </row>
    <row r="29" spans="2:13" x14ac:dyDescent="0.2">
      <c r="B29" s="88"/>
      <c r="C29" s="88"/>
      <c r="D29" s="88"/>
      <c r="E29" s="88"/>
      <c r="F29" s="88"/>
      <c r="H29" s="88"/>
      <c r="I29" s="88"/>
    </row>
    <row r="30" spans="2:13" x14ac:dyDescent="0.2">
      <c r="B30" s="88"/>
      <c r="C30" s="88"/>
      <c r="D30" s="88"/>
      <c r="E30" s="88"/>
      <c r="F30" s="88"/>
      <c r="H30" s="88"/>
      <c r="I30" s="88"/>
    </row>
    <row r="31" spans="2:13" x14ac:dyDescent="0.2">
      <c r="B31" s="199" t="s">
        <v>154</v>
      </c>
      <c r="C31" s="201"/>
      <c r="D31" s="198"/>
      <c r="E31" s="200"/>
      <c r="F31" s="249"/>
      <c r="G31" s="250"/>
      <c r="H31" s="189"/>
      <c r="I31" s="197"/>
      <c r="M31" s="25"/>
    </row>
    <row r="32" spans="2:13" x14ac:dyDescent="0.2">
      <c r="B32" s="193" t="s">
        <v>115</v>
      </c>
      <c r="C32" s="192" t="s">
        <v>152</v>
      </c>
      <c r="D32" s="88"/>
      <c r="E32" s="192" t="s">
        <v>147</v>
      </c>
      <c r="F32" s="192" t="s">
        <v>148</v>
      </c>
      <c r="G32" s="192" t="s">
        <v>149</v>
      </c>
      <c r="H32" s="192" t="s">
        <v>116</v>
      </c>
      <c r="I32" s="194" t="s">
        <v>81</v>
      </c>
      <c r="M32" s="2"/>
    </row>
    <row r="33" spans="2:13" x14ac:dyDescent="0.2">
      <c r="B33" s="195" t="s">
        <v>117</v>
      </c>
      <c r="C33" s="182">
        <f>(AVERAGE(0.1112,0.1061)-0.089)</f>
        <v>1.9650000000000001E-2</v>
      </c>
      <c r="D33" s="88"/>
      <c r="E33" s="41">
        <f>(AVERAGE(0.1112,0.1061)-0.0814)</f>
        <v>2.7249999999999996E-2</v>
      </c>
      <c r="F33" s="14">
        <f t="shared" ref="F33:F47" si="3">((E33/2)/0.625)*2*0.25</f>
        <v>1.0899999999999998E-2</v>
      </c>
      <c r="G33" s="14">
        <f>-2*(H6*(SQRT(3)/2))</f>
        <v>-1.3856406460551018E-3</v>
      </c>
      <c r="H33" s="123">
        <f t="shared" ref="H33:H47" si="4">E33+F33+G33</f>
        <v>3.6764359353944898E-2</v>
      </c>
      <c r="I33" s="86" t="str">
        <f>IF(H33&gt;H9, "Wrong Tool", "Good")</f>
        <v>Good</v>
      </c>
      <c r="M33" s="160"/>
    </row>
    <row r="34" spans="2:13" x14ac:dyDescent="0.2">
      <c r="B34" s="195" t="s">
        <v>118</v>
      </c>
      <c r="C34" s="41">
        <f>(AVERAGE(0.1372,0.1312))</f>
        <v>0.13419999999999999</v>
      </c>
      <c r="D34" s="88"/>
      <c r="E34" s="41">
        <f>(AVERAGE(0.1372,0.1312)-0.1)</f>
        <v>3.419999999999998E-2</v>
      </c>
      <c r="F34" s="14">
        <f t="shared" si="3"/>
        <v>1.3679999999999993E-2</v>
      </c>
      <c r="G34" s="14">
        <f>G33</f>
        <v>-1.3856406460551018E-3</v>
      </c>
      <c r="H34" s="123">
        <f t="shared" si="4"/>
        <v>4.6494359353944872E-2</v>
      </c>
      <c r="I34" s="86" t="str">
        <f>IF(H34&gt;H9, "Wrong Tool", "Good")</f>
        <v>Wrong Tool</v>
      </c>
      <c r="M34" s="2"/>
    </row>
    <row r="35" spans="2:13" x14ac:dyDescent="0.2">
      <c r="B35" s="195" t="s">
        <v>119</v>
      </c>
      <c r="C35" s="41">
        <f>(AVERAGE(0.1631,0.1571))</f>
        <v>0.16009999999999999</v>
      </c>
      <c r="D35" s="88"/>
      <c r="E35" s="41">
        <f>(AVERAGE(0.1631,0.1571)-0.1259)</f>
        <v>3.419999999999998E-2</v>
      </c>
      <c r="F35" s="14">
        <f t="shared" si="3"/>
        <v>1.3679999999999993E-2</v>
      </c>
      <c r="G35" s="14">
        <f t="shared" ref="G35:G47" si="5">G34</f>
        <v>-1.3856406460551018E-3</v>
      </c>
      <c r="H35" s="123">
        <f t="shared" si="4"/>
        <v>4.6494359353944872E-2</v>
      </c>
      <c r="I35" s="86" t="str">
        <f>IF(H35&gt;H9, "Wrong Tool", "Good")</f>
        <v>Wrong Tool</v>
      </c>
      <c r="M35" s="247"/>
    </row>
    <row r="36" spans="2:13" x14ac:dyDescent="0.2">
      <c r="B36" s="195" t="s">
        <v>120</v>
      </c>
      <c r="C36" s="41">
        <f>(AVERAGE(0.189,0.1818))</f>
        <v>0.18540000000000001</v>
      </c>
      <c r="D36" s="88"/>
      <c r="E36" s="41">
        <f>(AVERAGE(0.189,0.1818)-0.1394)</f>
        <v>4.6000000000000013E-2</v>
      </c>
      <c r="F36" s="14">
        <f t="shared" si="3"/>
        <v>1.8400000000000007E-2</v>
      </c>
      <c r="G36" s="14">
        <f t="shared" si="5"/>
        <v>-1.3856406460551018E-3</v>
      </c>
      <c r="H36" s="123">
        <f>E36+F36+G36</f>
        <v>6.3014359353944907E-2</v>
      </c>
      <c r="I36" s="86" t="str">
        <f>IF(H36&gt;H9, "Wrong Tool", "Good")</f>
        <v>Wrong Tool</v>
      </c>
      <c r="M36" s="248"/>
    </row>
    <row r="37" spans="2:13" x14ac:dyDescent="0.2">
      <c r="B37" s="195" t="s">
        <v>121</v>
      </c>
      <c r="C37" s="41">
        <f>(AVERAGE(0.1891,0.1831))</f>
        <v>0.18609999999999999</v>
      </c>
      <c r="D37" s="88"/>
      <c r="E37" s="41">
        <f>(AVERAGE(0.1891,0.1831)-0.1519)</f>
        <v>3.419999999999998E-2</v>
      </c>
      <c r="F37" s="14">
        <f t="shared" si="3"/>
        <v>1.3679999999999993E-2</v>
      </c>
      <c r="G37" s="14">
        <f t="shared" si="5"/>
        <v>-1.3856406460551018E-3</v>
      </c>
      <c r="H37" s="123">
        <f t="shared" si="4"/>
        <v>4.6494359353944872E-2</v>
      </c>
      <c r="I37" s="86" t="str">
        <f>IF(H37&gt;H9, "Wrong Tool", "Good")</f>
        <v>Wrong Tool</v>
      </c>
    </row>
    <row r="38" spans="2:13" x14ac:dyDescent="0.2">
      <c r="B38" s="195" t="s">
        <v>122</v>
      </c>
      <c r="C38" s="41">
        <f>(AVERAGE(0.2489,0.2367))</f>
        <v>0.24280000000000002</v>
      </c>
      <c r="D38" s="88"/>
      <c r="E38" s="41">
        <f>(AVERAGE(0.2489,0.2367)-0.1894)</f>
        <v>5.3400000000000003E-2</v>
      </c>
      <c r="F38" s="14">
        <f t="shared" si="3"/>
        <v>2.1360000000000001E-2</v>
      </c>
      <c r="G38" s="14">
        <f t="shared" si="5"/>
        <v>-1.3856406460551018E-3</v>
      </c>
      <c r="H38" s="123">
        <f t="shared" si="4"/>
        <v>7.3374359353944901E-2</v>
      </c>
      <c r="I38" s="86" t="str">
        <f>IF(H38&gt;H9, "Wrong Tool", "Good")</f>
        <v>Wrong Tool</v>
      </c>
    </row>
    <row r="39" spans="2:13" x14ac:dyDescent="0.2">
      <c r="B39" s="195" t="s">
        <v>123</v>
      </c>
      <c r="C39" s="41">
        <f>(AVERAGE(0.249,0.2392))</f>
        <v>0.24409999999999998</v>
      </c>
      <c r="D39" s="88"/>
      <c r="E39" s="41">
        <f>(AVERAGE(0.249,0.2392)-0.2064)</f>
        <v>3.7699999999999984E-2</v>
      </c>
      <c r="F39" s="14">
        <f t="shared" si="3"/>
        <v>1.5079999999999993E-2</v>
      </c>
      <c r="G39" s="14">
        <f t="shared" si="5"/>
        <v>-1.3856406460551018E-3</v>
      </c>
      <c r="H39" s="123">
        <f t="shared" si="4"/>
        <v>5.1394359353944881E-2</v>
      </c>
      <c r="I39" s="86" t="str">
        <f>IF(H39&gt;H9, "Wrong Tool", "Good")</f>
        <v>Wrong Tool</v>
      </c>
    </row>
    <row r="40" spans="2:13" x14ac:dyDescent="0.2">
      <c r="B40" s="195" t="s">
        <v>124</v>
      </c>
      <c r="C40" s="41">
        <f>(AVERAGE(0.3113,0.2982))</f>
        <v>0.30475000000000002</v>
      </c>
      <c r="D40" s="88"/>
      <c r="E40" s="41">
        <f>(AVERAGE(0.3113,0.2982)-0.2452)</f>
        <v>5.955000000000002E-2</v>
      </c>
      <c r="F40" s="14">
        <f t="shared" si="3"/>
        <v>2.3820000000000008E-2</v>
      </c>
      <c r="G40" s="14">
        <f t="shared" si="5"/>
        <v>-1.3856406460551018E-3</v>
      </c>
      <c r="H40" s="123">
        <f t="shared" si="4"/>
        <v>8.1984359353944922E-2</v>
      </c>
      <c r="I40" s="86" t="str">
        <f>IF(H40&gt;H9, "Wrong Tool", "Good")</f>
        <v>Wrong Tool</v>
      </c>
    </row>
    <row r="41" spans="2:13" x14ac:dyDescent="0.2">
      <c r="B41" s="195" t="s">
        <v>125</v>
      </c>
      <c r="C41" s="41">
        <f>(AVERAGE(0.3114,0.3006))</f>
        <v>0.30599999999999999</v>
      </c>
      <c r="D41" s="88"/>
      <c r="E41" s="41">
        <f>(AVERAGE(0.3114,0.3006)-0.2618)</f>
        <v>4.4200000000000017E-2</v>
      </c>
      <c r="F41" s="14">
        <f t="shared" si="3"/>
        <v>1.7680000000000008E-2</v>
      </c>
      <c r="G41" s="14">
        <f t="shared" si="5"/>
        <v>-1.3856406460551018E-3</v>
      </c>
      <c r="H41" s="123">
        <f t="shared" si="4"/>
        <v>6.0494359353944926E-2</v>
      </c>
      <c r="I41" s="86" t="str">
        <f>IF(H41&gt;H9, "Wrong Tool", "Good")</f>
        <v>Wrong Tool</v>
      </c>
    </row>
    <row r="42" spans="2:13" x14ac:dyDescent="0.2">
      <c r="B42" s="195" t="s">
        <v>126</v>
      </c>
      <c r="C42" s="41">
        <f>(AVERAGE(0.3737,0.3595))</f>
        <v>0.36659999999999998</v>
      </c>
      <c r="D42" s="88"/>
      <c r="E42" s="41">
        <f>(AVERAGE(0.3737,0.3595)-0.2992)</f>
        <v>6.739999999999996E-2</v>
      </c>
      <c r="F42" s="14">
        <f t="shared" si="3"/>
        <v>2.6959999999999984E-2</v>
      </c>
      <c r="G42" s="14">
        <f t="shared" si="5"/>
        <v>-1.3856406460551018E-3</v>
      </c>
      <c r="H42" s="123">
        <f t="shared" si="4"/>
        <v>9.2974359353944838E-2</v>
      </c>
      <c r="I42" s="86" t="str">
        <f>IF(H42&gt;H9, "Wrong Tool", "Good")</f>
        <v>Wrong Tool</v>
      </c>
    </row>
    <row r="43" spans="2:13" x14ac:dyDescent="0.2">
      <c r="B43" s="195" t="s">
        <v>127</v>
      </c>
      <c r="C43" s="41">
        <f>(AVERAGE(0.3739,0.3631))</f>
        <v>0.36849999999999999</v>
      </c>
      <c r="D43" s="88"/>
      <c r="E43" s="41">
        <f>(AVERAGE(0.3739,0.3631)-0.3243)</f>
        <v>4.4200000000000017E-2</v>
      </c>
      <c r="F43" s="14">
        <f t="shared" si="3"/>
        <v>1.7680000000000008E-2</v>
      </c>
      <c r="G43" s="14">
        <f t="shared" si="5"/>
        <v>-1.3856406460551018E-3</v>
      </c>
      <c r="H43" s="123">
        <f t="shared" si="4"/>
        <v>6.0494359353944926E-2</v>
      </c>
      <c r="I43" s="86" t="str">
        <f>IF(H43&gt;H9, "Wrong Tool", "Good")</f>
        <v>Wrong Tool</v>
      </c>
    </row>
    <row r="44" spans="2:13" x14ac:dyDescent="0.2">
      <c r="B44" s="195" t="s">
        <v>128</v>
      </c>
      <c r="C44" s="41">
        <f>(AVERAGE(0.4361,0.4206))</f>
        <v>0.42835000000000001</v>
      </c>
      <c r="D44" s="88"/>
      <c r="E44" s="41">
        <f>(AVERAGE(0.4361,0.4206)-0.3511)</f>
        <v>7.7249999999999985E-2</v>
      </c>
      <c r="F44" s="14">
        <f t="shared" si="3"/>
        <v>3.0899999999999993E-2</v>
      </c>
      <c r="G44" s="14">
        <f t="shared" si="5"/>
        <v>-1.3856406460551018E-3</v>
      </c>
      <c r="H44" s="123">
        <f t="shared" si="4"/>
        <v>0.10676435935394488</v>
      </c>
      <c r="I44" s="86" t="str">
        <f>IF(H44&gt;H9, "Wrong Tool", "Good")</f>
        <v>Wrong Tool</v>
      </c>
    </row>
    <row r="45" spans="2:13" x14ac:dyDescent="0.2">
      <c r="B45" s="195" t="s">
        <v>129</v>
      </c>
      <c r="C45" s="41">
        <f>(AVERAGE(0.4362,0.424))</f>
        <v>0.43009999999999998</v>
      </c>
      <c r="D45" s="88"/>
      <c r="E45" s="41">
        <f>(AVERAGE(0.4362,0.424)-0.3767)</f>
        <v>5.3400000000000003E-2</v>
      </c>
      <c r="F45" s="14">
        <f t="shared" si="3"/>
        <v>2.1360000000000001E-2</v>
      </c>
      <c r="G45" s="14">
        <f t="shared" si="5"/>
        <v>-1.3856406460551018E-3</v>
      </c>
      <c r="H45" s="123">
        <f t="shared" si="4"/>
        <v>7.3374359353944901E-2</v>
      </c>
      <c r="I45" s="86" t="str">
        <f>IF(H45&gt;H9, "Wrong Tool", "Good")</f>
        <v>Wrong Tool</v>
      </c>
    </row>
    <row r="46" spans="2:13" x14ac:dyDescent="0.2">
      <c r="B46" s="195" t="s">
        <v>130</v>
      </c>
      <c r="C46" s="41">
        <f>(AVERAGE(0.4985,0.4822))</f>
        <v>0.49035000000000001</v>
      </c>
      <c r="D46" s="88"/>
      <c r="E46" s="41">
        <f>(AVERAGE(0.4985,0.4822)-0.4069)</f>
        <v>8.3450000000000024E-2</v>
      </c>
      <c r="F46" s="14">
        <f t="shared" si="3"/>
        <v>3.3380000000000007E-2</v>
      </c>
      <c r="G46" s="14">
        <f t="shared" si="5"/>
        <v>-1.3856406460551018E-3</v>
      </c>
      <c r="H46" s="123">
        <f t="shared" si="4"/>
        <v>0.11544435935394493</v>
      </c>
      <c r="I46" s="86" t="str">
        <f>IF(H46&gt;H9, "Wrong Tool", "Good")</f>
        <v>Wrong Tool</v>
      </c>
    </row>
    <row r="47" spans="2:13" x14ac:dyDescent="0.2">
      <c r="B47" s="196" t="s">
        <v>131</v>
      </c>
      <c r="C47" s="183">
        <f>(AVERAGE(0.4987,0.4865))</f>
        <v>0.49259999999999998</v>
      </c>
      <c r="D47" s="96"/>
      <c r="E47" s="183">
        <f>(AVERAGE(0.4987,0.4865)-0.4392)</f>
        <v>5.3400000000000003E-2</v>
      </c>
      <c r="F47" s="96">
        <f t="shared" si="3"/>
        <v>2.1360000000000001E-2</v>
      </c>
      <c r="G47" s="96">
        <f t="shared" si="5"/>
        <v>-1.3856406460551018E-3</v>
      </c>
      <c r="H47" s="184">
        <f t="shared" si="4"/>
        <v>7.3374359353944901E-2</v>
      </c>
      <c r="I47" s="97" t="str">
        <f>IF(H47&gt;H9, "Wrong Tool", "Good")</f>
        <v>Wrong Tool</v>
      </c>
    </row>
  </sheetData>
  <mergeCells count="2">
    <mergeCell ref="M35:M36"/>
    <mergeCell ref="F31:G31"/>
  </mergeCells>
  <conditionalFormatting sqref="I33:I47 I14:I28">
    <cfRule type="containsText" dxfId="15" priority="2" operator="containsText" text="Good">
      <formula>NOT(ISERROR(SEARCH("Good",I14)))</formula>
    </cfRule>
  </conditionalFormatting>
  <conditionalFormatting sqref="I33:I47 I14:I28">
    <cfRule type="containsText" dxfId="14" priority="1" operator="containsText" text="Wrong Tool">
      <formula>NOT(ISERROR(SEARCH("Wrong Tool",I14)))</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43"/>
  <sheetViews>
    <sheetView workbookViewId="0">
      <selection activeCell="W10" sqref="W10"/>
    </sheetView>
  </sheetViews>
  <sheetFormatPr defaultRowHeight="12.75" x14ac:dyDescent="0.2"/>
  <sheetData>
    <row r="2" spans="2:20" x14ac:dyDescent="0.2">
      <c r="B2" s="30" t="s">
        <v>92</v>
      </c>
      <c r="C2" s="30"/>
      <c r="D2" s="30"/>
      <c r="E2" s="30"/>
      <c r="F2" s="30"/>
      <c r="G2" s="30"/>
      <c r="H2" s="30"/>
      <c r="I2" s="30"/>
      <c r="J2" s="30"/>
      <c r="K2" s="30"/>
      <c r="L2" s="30"/>
      <c r="M2" s="30"/>
      <c r="N2" s="30"/>
      <c r="O2" s="30"/>
      <c r="P2" s="30"/>
      <c r="Q2" s="30"/>
      <c r="R2" s="30"/>
      <c r="S2" s="30"/>
      <c r="T2" s="30"/>
    </row>
    <row r="4" spans="2:20" x14ac:dyDescent="0.2">
      <c r="B4" s="102"/>
      <c r="C4" s="102"/>
      <c r="D4" s="102"/>
      <c r="E4" s="102"/>
      <c r="F4" s="102"/>
      <c r="G4" s="102"/>
      <c r="H4" s="102"/>
      <c r="I4" s="102"/>
      <c r="J4" s="102"/>
      <c r="K4" s="102"/>
      <c r="L4" s="102"/>
      <c r="M4" s="102"/>
      <c r="N4" s="102"/>
      <c r="O4" s="102"/>
      <c r="P4" s="102"/>
      <c r="Q4" s="102"/>
      <c r="R4" s="102"/>
      <c r="S4" s="102"/>
      <c r="T4" s="102"/>
    </row>
    <row r="37" spans="2:20" x14ac:dyDescent="0.2">
      <c r="B37" s="30" t="s">
        <v>93</v>
      </c>
      <c r="C37" s="30"/>
      <c r="D37" s="30"/>
      <c r="E37" s="30"/>
      <c r="F37" s="30"/>
      <c r="G37" s="30"/>
      <c r="H37" s="30"/>
      <c r="I37" s="30"/>
      <c r="J37" s="30"/>
      <c r="K37" s="30"/>
      <c r="L37" s="30"/>
      <c r="M37" s="30"/>
      <c r="N37" s="30"/>
      <c r="O37" s="30"/>
      <c r="P37" s="30"/>
      <c r="Q37" s="30"/>
      <c r="R37" s="30"/>
      <c r="S37" s="30"/>
      <c r="T37" s="30"/>
    </row>
    <row r="43" spans="2:20" x14ac:dyDescent="0.2">
      <c r="B43" s="10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V42"/>
  <sheetViews>
    <sheetView workbookViewId="0">
      <selection activeCell="F35" sqref="F35"/>
    </sheetView>
  </sheetViews>
  <sheetFormatPr defaultRowHeight="12.75" x14ac:dyDescent="0.2"/>
  <cols>
    <col min="2" max="2" width="34.7109375" bestFit="1" customWidth="1"/>
    <col min="3" max="3" width="16.5703125" bestFit="1" customWidth="1"/>
    <col min="4" max="4" width="41.7109375" bestFit="1" customWidth="1"/>
    <col min="6" max="6" width="26.140625" customWidth="1"/>
    <col min="7" max="7" width="13.42578125" customWidth="1"/>
  </cols>
  <sheetData>
    <row r="2" spans="2:22" x14ac:dyDescent="0.2">
      <c r="B2" s="39" t="s">
        <v>48</v>
      </c>
      <c r="C2" s="39"/>
      <c r="D2" s="39"/>
      <c r="E2" s="39"/>
      <c r="F2" s="39"/>
      <c r="G2" s="39"/>
      <c r="H2" s="39"/>
      <c r="I2" s="39"/>
      <c r="J2" s="39"/>
      <c r="K2" s="39"/>
      <c r="L2" s="39"/>
      <c r="M2" s="39"/>
      <c r="N2" s="39"/>
      <c r="O2" s="39"/>
      <c r="P2" s="39"/>
      <c r="Q2" s="39"/>
      <c r="R2" s="39"/>
      <c r="S2" s="39"/>
      <c r="T2" s="39"/>
      <c r="U2" s="39"/>
      <c r="V2" s="39"/>
    </row>
    <row r="3" spans="2:22" x14ac:dyDescent="0.2">
      <c r="B3" s="39" t="s">
        <v>49</v>
      </c>
      <c r="C3" s="39"/>
      <c r="D3" s="39"/>
      <c r="E3" s="39"/>
      <c r="F3" s="39"/>
      <c r="G3" s="39"/>
      <c r="H3" s="39"/>
      <c r="I3" s="39"/>
      <c r="J3" s="39"/>
      <c r="K3" s="39"/>
      <c r="L3" s="39"/>
      <c r="M3" s="39"/>
      <c r="N3" s="39"/>
      <c r="O3" s="39"/>
      <c r="P3" s="39"/>
      <c r="Q3" s="39"/>
      <c r="R3" s="39"/>
      <c r="S3" s="39"/>
      <c r="T3" s="39"/>
      <c r="U3" s="39"/>
      <c r="V3" s="39"/>
    </row>
    <row r="4" spans="2:22" x14ac:dyDescent="0.2">
      <c r="B4" s="39" t="s">
        <v>47</v>
      </c>
      <c r="C4" s="39"/>
      <c r="D4" s="39"/>
      <c r="E4" s="39"/>
      <c r="F4" s="39"/>
      <c r="G4" s="39"/>
      <c r="H4" s="39"/>
      <c r="I4" s="39"/>
      <c r="J4" s="39"/>
      <c r="K4" s="39"/>
      <c r="L4" s="39"/>
      <c r="M4" s="39"/>
      <c r="N4" s="39"/>
      <c r="O4" s="39"/>
      <c r="P4" s="39"/>
      <c r="Q4" s="39"/>
      <c r="R4" s="39"/>
      <c r="S4" s="39"/>
      <c r="T4" s="39"/>
      <c r="U4" s="39"/>
      <c r="V4" s="39"/>
    </row>
    <row r="6" spans="2:22" x14ac:dyDescent="0.2">
      <c r="B6" s="4" t="s">
        <v>17</v>
      </c>
      <c r="C6" s="5"/>
      <c r="D6" s="6"/>
    </row>
    <row r="7" spans="2:22" x14ac:dyDescent="0.2">
      <c r="B7" s="12" t="s">
        <v>18</v>
      </c>
      <c r="C7" s="14" t="s">
        <v>20</v>
      </c>
      <c r="D7" s="8"/>
    </row>
    <row r="8" spans="2:22" x14ac:dyDescent="0.2">
      <c r="B8" s="12" t="s">
        <v>19</v>
      </c>
      <c r="C8" s="14" t="s">
        <v>26</v>
      </c>
      <c r="D8" s="45"/>
    </row>
    <row r="9" spans="2:22" x14ac:dyDescent="0.2">
      <c r="B9" s="22" t="s">
        <v>44</v>
      </c>
      <c r="C9" s="31">
        <v>0.38800000000000001</v>
      </c>
      <c r="D9" s="8"/>
    </row>
    <row r="10" spans="2:22" x14ac:dyDescent="0.2">
      <c r="B10" s="22" t="s">
        <v>37</v>
      </c>
      <c r="C10" s="104">
        <v>3.5000000000000001E-3</v>
      </c>
      <c r="D10" s="8"/>
    </row>
    <row r="11" spans="2:22" ht="15" x14ac:dyDescent="0.25">
      <c r="B11" s="36" t="s">
        <v>79</v>
      </c>
      <c r="C11" s="34">
        <v>0.25</v>
      </c>
      <c r="D11" s="23"/>
      <c r="E11" s="204" t="s">
        <v>156</v>
      </c>
    </row>
    <row r="13" spans="2:22" x14ac:dyDescent="0.2">
      <c r="B13" s="30" t="s">
        <v>31</v>
      </c>
      <c r="C13" s="30"/>
      <c r="D13" s="30"/>
      <c r="E13" s="24"/>
    </row>
    <row r="14" spans="2:22" x14ac:dyDescent="0.2">
      <c r="B14" s="20" t="s">
        <v>34</v>
      </c>
      <c r="C14" s="31">
        <v>13</v>
      </c>
      <c r="D14" s="32"/>
    </row>
    <row r="15" spans="2:22" x14ac:dyDescent="0.2">
      <c r="B15" s="33" t="s">
        <v>32</v>
      </c>
      <c r="C15" s="34">
        <v>0.42549999999999999</v>
      </c>
      <c r="D15" s="35" t="s">
        <v>33</v>
      </c>
    </row>
    <row r="17" spans="2:8" x14ac:dyDescent="0.2">
      <c r="B17" s="30" t="s">
        <v>76</v>
      </c>
      <c r="C17" s="30"/>
      <c r="D17" s="30"/>
      <c r="F17" s="30" t="s">
        <v>77</v>
      </c>
      <c r="G17" s="30"/>
      <c r="H17" s="30"/>
    </row>
    <row r="18" spans="2:8" x14ac:dyDescent="0.2">
      <c r="B18" s="37" t="s">
        <v>21</v>
      </c>
      <c r="C18" s="40">
        <f>C31-C30</f>
        <v>8.3271673440811433E-2</v>
      </c>
      <c r="D18" s="28"/>
      <c r="F18" s="37" t="s">
        <v>21</v>
      </c>
      <c r="G18" s="40">
        <f>C31-C30</f>
        <v>8.3271673440811433E-2</v>
      </c>
      <c r="H18" s="28"/>
    </row>
    <row r="19" spans="2:8" x14ac:dyDescent="0.2">
      <c r="B19" s="20" t="s">
        <v>42</v>
      </c>
      <c r="C19" s="41">
        <f>(2*C26)</f>
        <v>1.665433468816228E-2</v>
      </c>
      <c r="D19" s="8"/>
      <c r="F19" s="20" t="s">
        <v>42</v>
      </c>
      <c r="G19" s="41">
        <f>(2*C25)</f>
        <v>3.3308669376324561E-2</v>
      </c>
      <c r="H19" s="8"/>
    </row>
    <row r="20" spans="2:8" x14ac:dyDescent="0.2">
      <c r="B20" s="20" t="s">
        <v>43</v>
      </c>
      <c r="C20" s="41">
        <f>-(2*C34)</f>
        <v>-6.0621778264910702E-3</v>
      </c>
      <c r="D20" s="8"/>
      <c r="F20" s="20" t="s">
        <v>43</v>
      </c>
      <c r="G20" s="41">
        <f>-(2*C34)</f>
        <v>-6.0621778264910702E-3</v>
      </c>
      <c r="H20" s="8"/>
    </row>
    <row r="21" spans="2:8" x14ac:dyDescent="0.2">
      <c r="B21" s="33" t="s">
        <v>35</v>
      </c>
      <c r="C21" s="42">
        <f>SUM(C20,C19,C18)</f>
        <v>9.3863830302482645E-2</v>
      </c>
      <c r="D21" s="23"/>
      <c r="F21" s="33" t="s">
        <v>35</v>
      </c>
      <c r="G21" s="42">
        <f>SUM(G20,G19,G18)</f>
        <v>0.11051816499064493</v>
      </c>
      <c r="H21" s="23"/>
    </row>
    <row r="22" spans="2:8" x14ac:dyDescent="0.2">
      <c r="C22" s="43"/>
    </row>
    <row r="23" spans="2:8" ht="12" customHeight="1" x14ac:dyDescent="0.2">
      <c r="B23" s="30" t="s">
        <v>39</v>
      </c>
      <c r="C23" s="44"/>
      <c r="D23" s="30"/>
    </row>
    <row r="24" spans="2:8" ht="12" customHeight="1" x14ac:dyDescent="0.2">
      <c r="B24" s="69" t="s">
        <v>9</v>
      </c>
      <c r="C24" s="70">
        <f>(1/C14)*(SQRT(3)/2)</f>
        <v>6.6617338752649122E-2</v>
      </c>
      <c r="D24" s="71"/>
    </row>
    <row r="25" spans="2:8" x14ac:dyDescent="0.2">
      <c r="B25" s="50" t="s">
        <v>10</v>
      </c>
      <c r="C25" s="72">
        <f>C24/4</f>
        <v>1.665433468816228E-2</v>
      </c>
      <c r="D25" s="73"/>
    </row>
    <row r="26" spans="2:8" x14ac:dyDescent="0.2">
      <c r="B26" s="50" t="s">
        <v>11</v>
      </c>
      <c r="C26" s="72">
        <f>C24/8</f>
        <v>8.3271673440811402E-3</v>
      </c>
      <c r="D26" s="73"/>
    </row>
    <row r="27" spans="2:8" x14ac:dyDescent="0.2">
      <c r="B27" s="74" t="s">
        <v>38</v>
      </c>
      <c r="C27" s="75">
        <f>(5/8)*C24</f>
        <v>4.1635836720405703E-2</v>
      </c>
      <c r="D27" s="76"/>
    </row>
    <row r="28" spans="2:8" x14ac:dyDescent="0.2">
      <c r="C28" s="43"/>
    </row>
    <row r="29" spans="2:8" x14ac:dyDescent="0.2">
      <c r="B29" s="30" t="s">
        <v>40</v>
      </c>
      <c r="C29" s="44"/>
      <c r="D29" s="30"/>
    </row>
    <row r="30" spans="2:8" x14ac:dyDescent="0.2">
      <c r="B30" s="77" t="s">
        <v>32</v>
      </c>
      <c r="C30" s="70">
        <f>C15</f>
        <v>0.42549999999999999</v>
      </c>
      <c r="D30" s="71"/>
    </row>
    <row r="31" spans="2:8" x14ac:dyDescent="0.2">
      <c r="B31" s="78" t="s">
        <v>4</v>
      </c>
      <c r="C31" s="75">
        <f>C30+(2*C27)</f>
        <v>0.50877167344081142</v>
      </c>
      <c r="D31" s="76"/>
    </row>
    <row r="32" spans="2:8" x14ac:dyDescent="0.2">
      <c r="B32" s="1"/>
      <c r="C32" s="43"/>
    </row>
    <row r="33" spans="2:4" x14ac:dyDescent="0.2">
      <c r="B33" s="38" t="s">
        <v>41</v>
      </c>
      <c r="C33" s="44"/>
      <c r="D33" s="30"/>
    </row>
    <row r="34" spans="2:4" x14ac:dyDescent="0.2">
      <c r="B34" s="77" t="s">
        <v>36</v>
      </c>
      <c r="C34" s="70">
        <f>(C10/2)*SQRT(3)</f>
        <v>3.0310889132455351E-3</v>
      </c>
      <c r="D34" s="71"/>
    </row>
    <row r="35" spans="2:4" x14ac:dyDescent="0.2">
      <c r="B35" s="78" t="s">
        <v>86</v>
      </c>
      <c r="C35" s="85">
        <f>C9-C11</f>
        <v>0.13800000000000001</v>
      </c>
      <c r="D35" s="23"/>
    </row>
    <row r="36" spans="2:4" x14ac:dyDescent="0.2">
      <c r="B36" s="266" t="s">
        <v>46</v>
      </c>
      <c r="C36" s="266"/>
    </row>
    <row r="38" spans="2:4" x14ac:dyDescent="0.2">
      <c r="C38" s="30" t="s">
        <v>81</v>
      </c>
      <c r="D38" s="79"/>
    </row>
    <row r="39" spans="2:4" ht="27.75" customHeight="1" x14ac:dyDescent="0.2">
      <c r="C39" s="299" t="s">
        <v>87</v>
      </c>
      <c r="D39" s="300"/>
    </row>
    <row r="40" spans="2:4" ht="27" customHeight="1" x14ac:dyDescent="0.2">
      <c r="C40" s="301" t="s">
        <v>94</v>
      </c>
      <c r="D40" s="302"/>
    </row>
    <row r="41" spans="2:4" x14ac:dyDescent="0.2">
      <c r="C41" s="262" t="str">
        <f>IF((C35&lt;C21), "Wrong Tool", IF(C9&gt;C15, "Wrong Tool", "Good"))</f>
        <v>Good</v>
      </c>
      <c r="D41" s="264"/>
    </row>
    <row r="42" spans="2:4" ht="15" x14ac:dyDescent="0.25">
      <c r="C42" s="203" t="s">
        <v>155</v>
      </c>
    </row>
  </sheetData>
  <mergeCells count="4">
    <mergeCell ref="B36:C36"/>
    <mergeCell ref="C41:D41"/>
    <mergeCell ref="C39:D39"/>
    <mergeCell ref="C40:D40"/>
  </mergeCells>
  <conditionalFormatting sqref="C41:D41">
    <cfRule type="containsText" dxfId="1" priority="1" operator="containsText" text="Good">
      <formula>NOT(ISERROR(SEARCH("Good",C41)))</formula>
    </cfRule>
    <cfRule type="containsText" dxfId="0" priority="2" operator="containsText" text="Wrong Tool">
      <formula>NOT(ISERROR(SEARCH("Wrong Tool",C41)))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38"/>
  <sheetViews>
    <sheetView zoomScale="85" zoomScaleNormal="85" workbookViewId="0">
      <selection activeCell="C46" sqref="C46"/>
    </sheetView>
  </sheetViews>
  <sheetFormatPr defaultColWidth="14.42578125" defaultRowHeight="15.75" customHeight="1" outlineLevelRow="1" x14ac:dyDescent="0.2"/>
  <cols>
    <col min="1" max="1" width="8" customWidth="1"/>
    <col min="2" max="2" width="10.5703125" customWidth="1"/>
    <col min="3" max="3" width="36.42578125" customWidth="1"/>
    <col min="4" max="4" width="11.85546875" customWidth="1"/>
    <col min="5" max="5" width="38" customWidth="1"/>
    <col min="6" max="6" width="8.7109375" bestFit="1" customWidth="1"/>
    <col min="7" max="7" width="11.140625" customWidth="1"/>
    <col min="8" max="8" width="15.85546875" customWidth="1"/>
    <col min="9" max="9" width="9" customWidth="1"/>
    <col min="10" max="10" width="40.7109375" bestFit="1" customWidth="1"/>
    <col min="11" max="11" width="7.7109375" customWidth="1"/>
    <col min="12" max="12" width="40.140625" customWidth="1"/>
    <col min="13" max="13" width="29.28515625" customWidth="1"/>
    <col min="14" max="31" width="40.140625" customWidth="1"/>
  </cols>
  <sheetData>
    <row r="2" spans="2:12" ht="15.75" customHeight="1" x14ac:dyDescent="0.2">
      <c r="B2" s="30" t="s">
        <v>52</v>
      </c>
      <c r="C2" s="30"/>
      <c r="D2" s="30"/>
      <c r="E2" s="30"/>
      <c r="K2" s="24"/>
    </row>
    <row r="3" spans="2:12" ht="15.75" customHeight="1" x14ac:dyDescent="0.2">
      <c r="B3" s="46" t="s">
        <v>15</v>
      </c>
    </row>
    <row r="5" spans="2:12" ht="15.75" customHeight="1" x14ac:dyDescent="0.2">
      <c r="B5" s="106" t="s">
        <v>50</v>
      </c>
      <c r="C5" s="107"/>
      <c r="D5" s="107"/>
      <c r="E5" s="107"/>
    </row>
    <row r="6" spans="2:12" ht="15.75" customHeight="1" x14ac:dyDescent="0.2">
      <c r="B6" s="251">
        <v>1</v>
      </c>
      <c r="C6" s="7" t="s">
        <v>3</v>
      </c>
      <c r="D6" s="2"/>
      <c r="E6" s="8"/>
    </row>
    <row r="7" spans="2:12" ht="15.75" customHeight="1" x14ac:dyDescent="0.2">
      <c r="B7" s="252"/>
      <c r="C7" s="10" t="s">
        <v>16</v>
      </c>
      <c r="D7" s="2"/>
      <c r="E7" s="8"/>
    </row>
    <row r="8" spans="2:12" ht="15.75" customHeight="1" x14ac:dyDescent="0.2">
      <c r="B8" s="252"/>
      <c r="C8" s="11" t="s">
        <v>4</v>
      </c>
      <c r="D8" s="129">
        <v>0.5</v>
      </c>
      <c r="E8" s="8"/>
    </row>
    <row r="9" spans="2:12" ht="15.75" customHeight="1" x14ac:dyDescent="0.2">
      <c r="B9" s="252"/>
      <c r="C9" s="11" t="s">
        <v>111</v>
      </c>
      <c r="D9" s="129">
        <v>0.46500000000000002</v>
      </c>
      <c r="E9" s="133"/>
      <c r="L9" s="127"/>
    </row>
    <row r="10" spans="2:12" ht="5.25" customHeight="1" x14ac:dyDescent="0.2">
      <c r="B10" s="253"/>
      <c r="C10" s="15"/>
      <c r="D10" s="34"/>
      <c r="E10" s="23"/>
      <c r="I10" s="88"/>
      <c r="L10" s="127"/>
    </row>
    <row r="11" spans="2:12" ht="15.75" customHeight="1" x14ac:dyDescent="0.2">
      <c r="L11" s="127"/>
    </row>
    <row r="12" spans="2:12" ht="15.75" customHeight="1" x14ac:dyDescent="0.25">
      <c r="B12" s="4" t="s">
        <v>17</v>
      </c>
      <c r="C12" s="4"/>
      <c r="D12" s="5"/>
      <c r="E12" s="6"/>
      <c r="F12" s="203" t="s">
        <v>155</v>
      </c>
      <c r="L12" s="127"/>
    </row>
    <row r="13" spans="2:12" ht="15.75" customHeight="1" x14ac:dyDescent="0.2">
      <c r="B13" s="251">
        <v>2</v>
      </c>
      <c r="C13" s="22" t="s">
        <v>44</v>
      </c>
      <c r="D13" s="129">
        <v>0.38800000000000001</v>
      </c>
      <c r="E13" s="8"/>
      <c r="L13" s="127"/>
    </row>
    <row r="14" spans="2:12" ht="15.75" customHeight="1" x14ac:dyDescent="0.2">
      <c r="B14" s="252"/>
      <c r="C14" s="12" t="s">
        <v>88</v>
      </c>
      <c r="D14" s="130">
        <v>3.0000000000000001E-3</v>
      </c>
      <c r="E14" s="109" t="s">
        <v>104</v>
      </c>
      <c r="L14" s="127"/>
    </row>
    <row r="15" spans="2:12" ht="15.75" hidden="1" customHeight="1" outlineLevel="1" x14ac:dyDescent="0.2">
      <c r="B15" s="252"/>
      <c r="C15" s="92" t="s">
        <v>74</v>
      </c>
      <c r="D15" s="93">
        <f>D14*(SQRT(3)/2)</f>
        <v>2.5980762113533159E-3</v>
      </c>
      <c r="E15" s="8"/>
      <c r="L15" s="127"/>
    </row>
    <row r="16" spans="2:12" ht="15.75" customHeight="1" collapsed="1" x14ac:dyDescent="0.2">
      <c r="B16" s="253"/>
      <c r="C16" s="33"/>
      <c r="D16" s="134"/>
      <c r="E16" s="135"/>
      <c r="L16" s="127"/>
    </row>
    <row r="17" spans="2:17" ht="15.75" customHeight="1" x14ac:dyDescent="0.2">
      <c r="L17" s="127"/>
    </row>
    <row r="18" spans="2:17" ht="15.75" customHeight="1" x14ac:dyDescent="0.2">
      <c r="B18" s="4" t="s">
        <v>91</v>
      </c>
      <c r="C18" s="4"/>
      <c r="D18" s="5"/>
      <c r="E18" s="6"/>
      <c r="L18" s="128"/>
      <c r="N18" s="24"/>
      <c r="O18" s="24"/>
      <c r="P18" s="24"/>
      <c r="Q18" s="24"/>
    </row>
    <row r="19" spans="2:17" ht="15.75" hidden="1" customHeight="1" outlineLevel="1" x14ac:dyDescent="0.2">
      <c r="B19" s="131"/>
      <c r="C19" s="89" t="s">
        <v>6</v>
      </c>
      <c r="D19" s="90">
        <f>+F31</f>
        <v>0.46500000000000002</v>
      </c>
      <c r="E19" s="136" t="s">
        <v>51</v>
      </c>
      <c r="L19" s="127"/>
    </row>
    <row r="20" spans="2:17" ht="15.75" hidden="1" customHeight="1" outlineLevel="1" x14ac:dyDescent="0.2">
      <c r="B20" s="132"/>
      <c r="C20" s="9"/>
      <c r="D20" s="14"/>
      <c r="E20" s="8"/>
      <c r="L20" s="127"/>
    </row>
    <row r="21" spans="2:17" ht="15.75" hidden="1" customHeight="1" outlineLevel="1" x14ac:dyDescent="0.2">
      <c r="B21" s="132"/>
      <c r="C21" s="91" t="s">
        <v>55</v>
      </c>
      <c r="D21" s="108">
        <f>D8-D19</f>
        <v>3.4999999999999976E-2</v>
      </c>
      <c r="E21" s="32" t="s">
        <v>22</v>
      </c>
      <c r="L21" s="127"/>
    </row>
    <row r="22" spans="2:17" ht="15.75" hidden="1" customHeight="1" outlineLevel="1" x14ac:dyDescent="0.2">
      <c r="B22" s="132"/>
      <c r="C22" s="91" t="s">
        <v>23</v>
      </c>
      <c r="D22" s="108">
        <f>(2*F34)</f>
        <v>6.9999999999999949E-3</v>
      </c>
      <c r="E22" s="32" t="s">
        <v>56</v>
      </c>
    </row>
    <row r="23" spans="2:17" ht="15.75" hidden="1" customHeight="1" outlineLevel="1" x14ac:dyDescent="0.2">
      <c r="B23" s="132"/>
      <c r="C23" s="91" t="s">
        <v>24</v>
      </c>
      <c r="D23" s="124">
        <f>-(2*D15)</f>
        <v>-5.1961524227066317E-3</v>
      </c>
      <c r="E23" s="32" t="s">
        <v>108</v>
      </c>
    </row>
    <row r="24" spans="2:17" ht="15.75" customHeight="1" collapsed="1" x14ac:dyDescent="0.2">
      <c r="B24" s="251">
        <v>3</v>
      </c>
      <c r="C24" s="100" t="s">
        <v>82</v>
      </c>
      <c r="D24" s="123">
        <f>IF(SUM(D21:D23)&gt;=-0.001,SUM(D21:D23),"Use Threadmill with Sharper Point")</f>
        <v>3.6803847577293339E-2</v>
      </c>
      <c r="E24" s="32" t="s">
        <v>109</v>
      </c>
    </row>
    <row r="25" spans="2:17" ht="8.25" customHeight="1" x14ac:dyDescent="0.2">
      <c r="B25" s="252"/>
      <c r="C25" s="125"/>
      <c r="D25" s="126"/>
      <c r="E25" s="32"/>
    </row>
    <row r="26" spans="2:17" ht="15.75" customHeight="1" x14ac:dyDescent="0.2">
      <c r="B26" s="252"/>
      <c r="C26" s="100" t="s">
        <v>75</v>
      </c>
      <c r="D26" s="123">
        <f>IF(SUM(D21:D23)-D21&gt;=-0.001,SUM(D21:D23)-D21,"Use Threadmill with Sharper Point")</f>
        <v>1.8038475772933632E-3</v>
      </c>
      <c r="E26" s="32" t="s">
        <v>110</v>
      </c>
    </row>
    <row r="27" spans="2:17" ht="9" customHeight="1" x14ac:dyDescent="0.2">
      <c r="B27" s="253"/>
      <c r="C27" s="15"/>
      <c r="D27" s="96"/>
      <c r="E27" s="35"/>
    </row>
    <row r="28" spans="2:17" ht="15.75" customHeight="1" x14ac:dyDescent="0.2">
      <c r="C28" s="2"/>
      <c r="D28" s="2"/>
      <c r="E28" s="2"/>
    </row>
    <row r="29" spans="2:17" ht="15.75" hidden="1" customHeight="1" outlineLevel="1" x14ac:dyDescent="0.2">
      <c r="B29" s="4" t="s">
        <v>25</v>
      </c>
      <c r="C29" s="4"/>
      <c r="D29" s="5"/>
      <c r="E29" s="5"/>
      <c r="F29" s="5"/>
      <c r="G29" s="5"/>
      <c r="H29" s="5"/>
      <c r="I29" s="5"/>
      <c r="J29" s="6"/>
      <c r="K29" s="24"/>
      <c r="L29" s="68"/>
    </row>
    <row r="30" spans="2:17" ht="15.75" hidden="1" customHeight="1" outlineLevel="1" x14ac:dyDescent="0.2">
      <c r="B30" s="83"/>
      <c r="C30" s="121" t="s">
        <v>2</v>
      </c>
      <c r="D30" s="56"/>
      <c r="E30" s="52" t="s">
        <v>1</v>
      </c>
      <c r="F30" s="53"/>
      <c r="G30" s="47"/>
      <c r="H30" s="51"/>
      <c r="I30" s="56" t="s">
        <v>0</v>
      </c>
      <c r="J30" s="59"/>
      <c r="K30" s="24"/>
      <c r="L30" s="68"/>
    </row>
    <row r="31" spans="2:17" ht="15.75" hidden="1" customHeight="1" outlineLevel="1" x14ac:dyDescent="0.2">
      <c r="B31" s="9"/>
      <c r="C31" s="57" t="s">
        <v>7</v>
      </c>
      <c r="D31" s="58">
        <f>+D9</f>
        <v>0.46500000000000002</v>
      </c>
      <c r="E31" s="54" t="s">
        <v>6</v>
      </c>
      <c r="F31" s="54">
        <f>AVERAGE(J31,D31)</f>
        <v>0.46500000000000002</v>
      </c>
      <c r="G31" s="48"/>
      <c r="H31" s="2"/>
      <c r="I31" s="60" t="s">
        <v>5</v>
      </c>
      <c r="J31" s="61">
        <f>+$D$9</f>
        <v>0.46500000000000002</v>
      </c>
      <c r="K31" s="24"/>
      <c r="L31" s="68"/>
    </row>
    <row r="32" spans="2:17" ht="15.75" hidden="1" customHeight="1" outlineLevel="1" x14ac:dyDescent="0.2">
      <c r="B32" s="9"/>
      <c r="C32" s="58" t="s">
        <v>8</v>
      </c>
      <c r="D32" s="58">
        <f>($D$8-D9)/2</f>
        <v>1.7499999999999988E-2</v>
      </c>
      <c r="E32" s="55" t="s">
        <v>61</v>
      </c>
      <c r="F32" s="55">
        <f>+$D$21/2</f>
        <v>1.7499999999999988E-2</v>
      </c>
      <c r="G32" s="49"/>
      <c r="H32" s="2"/>
      <c r="I32" s="62" t="s">
        <v>8</v>
      </c>
      <c r="J32" s="63">
        <f>($D$8-J31)/2</f>
        <v>1.7499999999999988E-2</v>
      </c>
    </row>
    <row r="33" spans="2:10" ht="15.75" hidden="1" customHeight="1" outlineLevel="1" x14ac:dyDescent="0.2">
      <c r="B33" s="9"/>
      <c r="C33" s="57" t="s">
        <v>9</v>
      </c>
      <c r="D33" s="57">
        <f>D32/0.625</f>
        <v>2.799999999999998E-2</v>
      </c>
      <c r="E33" s="54" t="s">
        <v>62</v>
      </c>
      <c r="F33" s="54">
        <f>F32/0.625</f>
        <v>2.799999999999998E-2</v>
      </c>
      <c r="G33" s="48"/>
      <c r="H33" s="2"/>
      <c r="I33" s="60" t="s">
        <v>9</v>
      </c>
      <c r="J33" s="61">
        <f>J32/0.625</f>
        <v>2.799999999999998E-2</v>
      </c>
    </row>
    <row r="34" spans="2:10" ht="15.75" hidden="1" customHeight="1" outlineLevel="1" x14ac:dyDescent="0.2">
      <c r="B34" s="9"/>
      <c r="C34" s="57" t="s">
        <v>10</v>
      </c>
      <c r="D34" s="57">
        <f>D33*0.125</f>
        <v>3.4999999999999975E-3</v>
      </c>
      <c r="E34" s="122" t="s">
        <v>63</v>
      </c>
      <c r="F34" s="54">
        <f>F33*0.125</f>
        <v>3.4999999999999975E-3</v>
      </c>
      <c r="G34" s="48"/>
      <c r="H34" s="2"/>
      <c r="I34" s="60" t="s">
        <v>10</v>
      </c>
      <c r="J34" s="61">
        <f>J33*0.125</f>
        <v>3.4999999999999975E-3</v>
      </c>
    </row>
    <row r="35" spans="2:10" ht="15.75" hidden="1" customHeight="1" outlineLevel="1" x14ac:dyDescent="0.2">
      <c r="B35" s="15"/>
      <c r="C35" s="16"/>
      <c r="D35" s="16"/>
      <c r="E35" s="18"/>
      <c r="F35" s="17"/>
      <c r="G35" s="17"/>
      <c r="H35" s="16"/>
      <c r="I35" s="16"/>
      <c r="J35" s="19"/>
    </row>
    <row r="36" spans="2:10" ht="15.75" hidden="1" customHeight="1" outlineLevel="1" x14ac:dyDescent="0.2">
      <c r="B36" s="27" t="s">
        <v>45</v>
      </c>
      <c r="C36" s="27"/>
      <c r="D36" s="27"/>
      <c r="E36" s="27"/>
    </row>
    <row r="37" spans="2:10" ht="15.75" hidden="1" customHeight="1" outlineLevel="1" x14ac:dyDescent="0.2"/>
    <row r="38" spans="2:10" ht="15.75" customHeight="1" collapsed="1" x14ac:dyDescent="0.2"/>
  </sheetData>
  <mergeCells count="3">
    <mergeCell ref="B6:B10"/>
    <mergeCell ref="B13:B16"/>
    <mergeCell ref="B24:B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76"/>
  <sheetViews>
    <sheetView zoomScale="85" zoomScaleNormal="85" workbookViewId="0">
      <selection activeCell="D16" sqref="D16"/>
    </sheetView>
  </sheetViews>
  <sheetFormatPr defaultColWidth="14.42578125" defaultRowHeight="15.75" customHeight="1" x14ac:dyDescent="0.2"/>
  <cols>
    <col min="1" max="1" width="8" customWidth="1"/>
    <col min="2" max="2" width="10.5703125" customWidth="1"/>
    <col min="3" max="3" width="36.42578125" customWidth="1"/>
    <col min="4" max="4" width="11.85546875" customWidth="1"/>
    <col min="5" max="5" width="38" customWidth="1"/>
    <col min="6" max="6" width="8.7109375" bestFit="1" customWidth="1"/>
    <col min="7" max="7" width="11.140625" customWidth="1"/>
    <col min="8" max="8" width="15.85546875" customWidth="1"/>
    <col min="9" max="9" width="9" customWidth="1"/>
    <col min="10" max="10" width="40.7109375" bestFit="1" customWidth="1"/>
    <col min="11" max="11" width="7.7109375" customWidth="1"/>
    <col min="12" max="12" width="21.85546875" customWidth="1"/>
    <col min="13" max="13" width="29.28515625" customWidth="1"/>
    <col min="14" max="31" width="40.140625" customWidth="1"/>
  </cols>
  <sheetData>
    <row r="2" spans="2:12" ht="15.75" customHeight="1" x14ac:dyDescent="0.2">
      <c r="B2" s="30" t="s">
        <v>52</v>
      </c>
      <c r="C2" s="30"/>
      <c r="D2" s="30"/>
      <c r="E2" s="30"/>
      <c r="F2" s="30"/>
      <c r="G2" s="30"/>
      <c r="H2" s="30"/>
      <c r="I2" s="30"/>
      <c r="J2" s="30"/>
      <c r="K2" s="24"/>
    </row>
    <row r="3" spans="2:12" ht="15.75" customHeight="1" x14ac:dyDescent="0.2">
      <c r="B3" s="46" t="s">
        <v>15</v>
      </c>
    </row>
    <row r="5" spans="2:12" ht="15.75" customHeight="1" x14ac:dyDescent="0.2">
      <c r="B5" s="106" t="s">
        <v>50</v>
      </c>
      <c r="C5" s="107"/>
      <c r="D5" s="107"/>
      <c r="E5" s="107"/>
    </row>
    <row r="6" spans="2:12" ht="15.75" customHeight="1" x14ac:dyDescent="0.2">
      <c r="B6" s="254">
        <v>1</v>
      </c>
      <c r="C6" s="7" t="s">
        <v>3</v>
      </c>
      <c r="D6" s="2"/>
      <c r="E6" s="8"/>
    </row>
    <row r="7" spans="2:12" ht="15.75" customHeight="1" x14ac:dyDescent="0.2">
      <c r="B7" s="255"/>
      <c r="C7" s="10" t="s">
        <v>16</v>
      </c>
      <c r="D7" s="2"/>
      <c r="E7" s="8"/>
    </row>
    <row r="8" spans="2:12" ht="15.75" customHeight="1" x14ac:dyDescent="0.2">
      <c r="B8" s="255"/>
      <c r="C8" s="11" t="s">
        <v>4</v>
      </c>
      <c r="D8" s="129">
        <v>0.375</v>
      </c>
      <c r="E8" s="8"/>
    </row>
    <row r="9" spans="2:12" ht="15.75" customHeight="1" x14ac:dyDescent="0.2">
      <c r="B9" s="255"/>
      <c r="C9" s="110" t="s">
        <v>12</v>
      </c>
      <c r="D9" s="111" t="s">
        <v>101</v>
      </c>
      <c r="E9" s="137" t="s">
        <v>112</v>
      </c>
    </row>
    <row r="10" spans="2:12" ht="15.75" customHeight="1" x14ac:dyDescent="0.2">
      <c r="B10" s="255"/>
      <c r="C10" s="11" t="s">
        <v>7</v>
      </c>
      <c r="D10" s="129">
        <f>5/16</f>
        <v>0.3125</v>
      </c>
      <c r="E10" s="260" t="s">
        <v>103</v>
      </c>
      <c r="L10" s="127"/>
    </row>
    <row r="11" spans="2:12" ht="15.75" customHeight="1" x14ac:dyDescent="0.2">
      <c r="B11" s="255"/>
      <c r="C11" s="11" t="s">
        <v>5</v>
      </c>
      <c r="D11" s="129">
        <v>0.3125</v>
      </c>
      <c r="E11" s="261"/>
      <c r="L11" s="127"/>
    </row>
    <row r="12" spans="2:12" ht="15.75" customHeight="1" x14ac:dyDescent="0.2">
      <c r="B12" s="255"/>
      <c r="C12" s="13" t="s">
        <v>102</v>
      </c>
      <c r="D12" s="31"/>
      <c r="E12" s="8" t="s">
        <v>180</v>
      </c>
      <c r="L12" s="127"/>
    </row>
    <row r="13" spans="2:12" ht="15.75" customHeight="1" x14ac:dyDescent="0.2">
      <c r="B13" s="256"/>
      <c r="C13" s="15"/>
      <c r="D13" s="34"/>
      <c r="E13" s="23"/>
      <c r="I13" s="88"/>
      <c r="L13" s="127"/>
    </row>
    <row r="14" spans="2:12" ht="15.75" customHeight="1" x14ac:dyDescent="0.25">
      <c r="G14" s="203" t="s">
        <v>155</v>
      </c>
      <c r="L14" s="127"/>
    </row>
    <row r="15" spans="2:12" ht="15.75" customHeight="1" x14ac:dyDescent="0.2">
      <c r="B15" s="4" t="s">
        <v>17</v>
      </c>
      <c r="C15" s="4"/>
      <c r="D15" s="5"/>
      <c r="E15" s="6"/>
      <c r="G15" s="30" t="s">
        <v>81</v>
      </c>
      <c r="H15" s="79"/>
      <c r="I15" s="79"/>
      <c r="J15" s="79"/>
      <c r="L15" s="127"/>
    </row>
    <row r="16" spans="2:12" ht="15.75" customHeight="1" x14ac:dyDescent="0.2">
      <c r="B16" s="254">
        <v>2</v>
      </c>
      <c r="C16" s="22" t="s">
        <v>44</v>
      </c>
      <c r="D16" s="129">
        <v>0.188</v>
      </c>
      <c r="E16" s="8"/>
      <c r="G16" s="171" t="s">
        <v>105</v>
      </c>
      <c r="H16" s="113"/>
      <c r="I16" s="119"/>
      <c r="J16" s="114"/>
      <c r="L16" s="127"/>
    </row>
    <row r="17" spans="2:17" ht="15.75" customHeight="1" x14ac:dyDescent="0.2">
      <c r="B17" s="255"/>
      <c r="C17" s="12" t="s">
        <v>88</v>
      </c>
      <c r="D17" s="130">
        <v>3.0000000000000001E-3</v>
      </c>
      <c r="E17" s="109" t="s">
        <v>104</v>
      </c>
      <c r="G17" s="172" t="s">
        <v>106</v>
      </c>
      <c r="H17" s="115"/>
      <c r="I17" s="120"/>
      <c r="J17" s="116"/>
      <c r="L17" s="127"/>
    </row>
    <row r="18" spans="2:17" ht="15.75" customHeight="1" x14ac:dyDescent="0.2">
      <c r="B18" s="255"/>
      <c r="C18" s="92" t="s">
        <v>74</v>
      </c>
      <c r="D18" s="93">
        <f>D17*(SQRT(3)/2)</f>
        <v>2.5980762113533159E-3</v>
      </c>
      <c r="E18" s="8"/>
      <c r="G18" s="112"/>
      <c r="H18" s="117"/>
      <c r="I18" s="117"/>
      <c r="J18" s="118"/>
      <c r="L18" s="127"/>
    </row>
    <row r="19" spans="2:17" ht="15.75" customHeight="1" x14ac:dyDescent="0.2">
      <c r="B19" s="255"/>
      <c r="C19" s="20" t="s">
        <v>79</v>
      </c>
      <c r="D19" s="129">
        <v>0.12</v>
      </c>
      <c r="E19" s="258" t="s">
        <v>157</v>
      </c>
      <c r="G19" s="112"/>
      <c r="H19" s="117"/>
      <c r="I19" s="117"/>
      <c r="J19" s="118"/>
      <c r="L19" s="127"/>
    </row>
    <row r="20" spans="2:17" ht="15.75" customHeight="1" x14ac:dyDescent="0.2">
      <c r="B20" s="256"/>
      <c r="C20" s="78" t="s">
        <v>80</v>
      </c>
      <c r="D20" s="85">
        <f>D16-D19</f>
        <v>6.8000000000000005E-2</v>
      </c>
      <c r="E20" s="259"/>
      <c r="G20" s="262" t="str">
        <f>IF((D20&lt;D28),"Wrong Tool",IF(D16&gt;D23,"Wrong Tool","Good"))</f>
        <v>Wrong Tool</v>
      </c>
      <c r="H20" s="263"/>
      <c r="I20" s="263"/>
      <c r="J20" s="264"/>
      <c r="L20" s="127"/>
    </row>
    <row r="21" spans="2:17" ht="15.75" customHeight="1" x14ac:dyDescent="0.2">
      <c r="L21" s="127"/>
    </row>
    <row r="22" spans="2:17" ht="15.75" customHeight="1" x14ac:dyDescent="0.2">
      <c r="B22" s="4" t="s">
        <v>91</v>
      </c>
      <c r="C22" s="4"/>
      <c r="D22" s="5"/>
      <c r="E22" s="5"/>
      <c r="F22" s="5"/>
      <c r="G22" s="5"/>
      <c r="H22" s="5"/>
      <c r="I22" s="5"/>
      <c r="J22" s="6"/>
      <c r="L22" s="128"/>
      <c r="N22" s="24"/>
      <c r="O22" s="24"/>
      <c r="P22" s="24"/>
      <c r="Q22" s="24"/>
    </row>
    <row r="23" spans="2:17" ht="15.75" customHeight="1" x14ac:dyDescent="0.2">
      <c r="B23" s="254">
        <v>3</v>
      </c>
      <c r="C23" s="89" t="s">
        <v>6</v>
      </c>
      <c r="D23" s="90">
        <f>+F45</f>
        <v>0.3125</v>
      </c>
      <c r="E23" s="27" t="s">
        <v>113</v>
      </c>
      <c r="F23" s="26"/>
      <c r="G23" s="26"/>
      <c r="H23" s="26"/>
      <c r="I23" s="26"/>
      <c r="J23" s="28"/>
      <c r="L23" s="127"/>
    </row>
    <row r="24" spans="2:17" ht="15.75" customHeight="1" x14ac:dyDescent="0.2">
      <c r="B24" s="255"/>
      <c r="C24" s="9"/>
      <c r="D24" s="14"/>
      <c r="E24" s="2"/>
      <c r="F24" s="2"/>
      <c r="G24" s="2"/>
      <c r="H24" s="2"/>
      <c r="I24" s="2"/>
      <c r="J24" s="8"/>
      <c r="L24" s="127"/>
    </row>
    <row r="25" spans="2:17" ht="15.75" customHeight="1" x14ac:dyDescent="0.2">
      <c r="B25" s="255"/>
      <c r="C25" s="91" t="s">
        <v>55</v>
      </c>
      <c r="D25" s="108">
        <f>D8-D23</f>
        <v>6.25E-2</v>
      </c>
      <c r="E25" s="21" t="s">
        <v>22</v>
      </c>
      <c r="F25" s="2"/>
      <c r="G25" s="2"/>
      <c r="H25" s="2"/>
      <c r="I25" s="2"/>
      <c r="J25" s="8"/>
      <c r="L25" s="127"/>
    </row>
    <row r="26" spans="2:17" ht="15.75" customHeight="1" x14ac:dyDescent="0.2">
      <c r="B26" s="255"/>
      <c r="C26" s="91" t="s">
        <v>23</v>
      </c>
      <c r="D26" s="108">
        <f>(2*F48)</f>
        <v>1.2500000000000001E-2</v>
      </c>
      <c r="E26" s="21" t="s">
        <v>56</v>
      </c>
      <c r="F26" s="2"/>
      <c r="G26" s="2"/>
      <c r="H26" s="2"/>
      <c r="I26" s="2"/>
      <c r="J26" s="8"/>
    </row>
    <row r="27" spans="2:17" ht="15.75" customHeight="1" x14ac:dyDescent="0.2">
      <c r="B27" s="255"/>
      <c r="C27" s="91" t="s">
        <v>24</v>
      </c>
      <c r="D27" s="124">
        <f>-(2*D18)</f>
        <v>-5.1961524227066317E-3</v>
      </c>
      <c r="E27" s="21" t="s">
        <v>108</v>
      </c>
      <c r="F27" s="2"/>
      <c r="G27" s="2"/>
      <c r="H27" s="2"/>
      <c r="I27" s="64"/>
      <c r="J27" s="8"/>
    </row>
    <row r="28" spans="2:17" ht="15.75" customHeight="1" x14ac:dyDescent="0.2">
      <c r="B28" s="255"/>
      <c r="C28" s="100" t="s">
        <v>82</v>
      </c>
      <c r="D28" s="123">
        <f>IF(SUM(D25:D27)&gt;=-0.001,SUM(D25:D27),"Use Threadmill with Sharper Point")</f>
        <v>6.9803847577293368E-2</v>
      </c>
      <c r="E28" s="21" t="s">
        <v>109</v>
      </c>
      <c r="F28" s="2"/>
      <c r="G28" s="2"/>
      <c r="H28" s="2"/>
      <c r="I28" s="2"/>
      <c r="J28" s="8"/>
    </row>
    <row r="29" spans="2:17" ht="5.25" customHeight="1" x14ac:dyDescent="0.2">
      <c r="B29" s="255"/>
      <c r="C29" s="125"/>
      <c r="D29" s="126"/>
      <c r="E29" s="21"/>
      <c r="F29" s="2"/>
      <c r="G29" s="2"/>
      <c r="H29" s="2"/>
      <c r="I29" s="2"/>
      <c r="J29" s="8"/>
    </row>
    <row r="30" spans="2:17" ht="15.75" customHeight="1" x14ac:dyDescent="0.2">
      <c r="B30" s="255"/>
      <c r="C30" s="100" t="s">
        <v>75</v>
      </c>
      <c r="D30" s="123">
        <f>IF(SUM(D25:D27)-D25&gt;=-0.001,SUM(D25:D27)-D25,"Use Threadmill with Sharper Point")</f>
        <v>7.3038475772933681E-3</v>
      </c>
      <c r="E30" s="21" t="s">
        <v>110</v>
      </c>
      <c r="F30" s="2"/>
      <c r="H30" s="2"/>
      <c r="I30" s="2"/>
      <c r="J30" s="8"/>
    </row>
    <row r="31" spans="2:17" ht="15.75" customHeight="1" x14ac:dyDescent="0.2">
      <c r="B31" s="256"/>
      <c r="C31" s="15"/>
      <c r="D31" s="96"/>
      <c r="E31" s="84"/>
      <c r="F31" s="16"/>
      <c r="G31" s="16"/>
      <c r="H31" s="16"/>
      <c r="I31" s="16"/>
      <c r="J31" s="23"/>
    </row>
    <row r="32" spans="2:17" ht="15.75" customHeight="1" x14ac:dyDescent="0.2">
      <c r="C32" s="2"/>
      <c r="D32" s="2"/>
      <c r="E32" s="2"/>
      <c r="F32" s="2"/>
      <c r="G32" s="2"/>
      <c r="H32" s="2"/>
      <c r="I32" s="2"/>
      <c r="J32" s="2"/>
    </row>
    <row r="33" spans="2:12" ht="15.75" customHeight="1" x14ac:dyDescent="0.2">
      <c r="B33" s="80" t="s">
        <v>54</v>
      </c>
      <c r="C33" s="80"/>
      <c r="D33" s="81"/>
      <c r="E33" s="81"/>
      <c r="F33" s="81"/>
      <c r="G33" s="81"/>
      <c r="H33" s="81"/>
      <c r="I33" s="81"/>
      <c r="J33" s="82"/>
    </row>
    <row r="34" spans="2:12" ht="15.75" customHeight="1" x14ac:dyDescent="0.2">
      <c r="B34" s="37" t="s">
        <v>53</v>
      </c>
      <c r="C34" s="37"/>
      <c r="D34" s="26"/>
      <c r="E34" s="26"/>
      <c r="F34" s="26"/>
      <c r="G34" s="26"/>
      <c r="H34" s="26"/>
      <c r="I34" s="26"/>
      <c r="J34" s="28"/>
    </row>
    <row r="35" spans="2:12" ht="15.75" customHeight="1" x14ac:dyDescent="0.2">
      <c r="B35" s="9" t="s">
        <v>58</v>
      </c>
      <c r="C35" s="9"/>
      <c r="D35" s="2"/>
      <c r="E35" s="2"/>
      <c r="F35" s="2"/>
      <c r="G35" s="2"/>
      <c r="H35" s="2"/>
      <c r="I35" s="2"/>
      <c r="J35" s="8"/>
    </row>
    <row r="36" spans="2:12" ht="15.75" customHeight="1" x14ac:dyDescent="0.2">
      <c r="B36" s="12" t="s">
        <v>83</v>
      </c>
      <c r="C36" s="12"/>
      <c r="D36" s="2"/>
      <c r="E36" s="2"/>
      <c r="F36" s="2"/>
      <c r="G36" s="2"/>
      <c r="H36" s="2"/>
      <c r="I36" s="2"/>
      <c r="J36" s="8"/>
    </row>
    <row r="37" spans="2:12" ht="15.75" customHeight="1" x14ac:dyDescent="0.2">
      <c r="B37" s="12" t="s">
        <v>84</v>
      </c>
      <c r="C37" s="12"/>
      <c r="D37" s="2"/>
      <c r="E37" s="2"/>
      <c r="F37" s="2"/>
      <c r="G37" s="2"/>
      <c r="H37" s="2"/>
      <c r="I37" s="2"/>
      <c r="J37" s="8"/>
    </row>
    <row r="38" spans="2:12" ht="15.75" customHeight="1" x14ac:dyDescent="0.2">
      <c r="B38" s="36" t="s">
        <v>85</v>
      </c>
      <c r="C38" s="18"/>
      <c r="D38" s="16"/>
      <c r="E38" s="16"/>
      <c r="F38" s="16"/>
      <c r="G38" s="16"/>
      <c r="H38" s="16"/>
      <c r="I38" s="16"/>
      <c r="J38" s="23"/>
    </row>
    <row r="39" spans="2:12" ht="15.75" customHeight="1" x14ac:dyDescent="0.2">
      <c r="C39" s="2"/>
      <c r="D39" s="2"/>
      <c r="E39" s="2"/>
      <c r="F39" s="2"/>
      <c r="G39" s="2"/>
      <c r="H39" s="2"/>
      <c r="I39" s="2"/>
      <c r="J39" s="2"/>
    </row>
    <row r="40" spans="2:12" ht="15.75" customHeight="1" x14ac:dyDescent="0.2">
      <c r="B40" s="80" t="s">
        <v>59</v>
      </c>
      <c r="C40" s="80"/>
      <c r="D40" s="81"/>
      <c r="E40" s="81"/>
      <c r="F40" s="81"/>
      <c r="G40" s="81"/>
      <c r="H40" s="81"/>
      <c r="I40" s="81"/>
      <c r="J40" s="82"/>
    </row>
    <row r="41" spans="2:12" ht="15.75" customHeight="1" x14ac:dyDescent="0.2">
      <c r="B41" s="29" t="s">
        <v>60</v>
      </c>
      <c r="C41" s="29"/>
      <c r="D41" s="16"/>
      <c r="E41" s="16"/>
      <c r="F41" s="16"/>
      <c r="G41" s="16"/>
      <c r="H41" s="16"/>
      <c r="I41" s="16"/>
      <c r="J41" s="23"/>
    </row>
    <row r="43" spans="2:12" ht="15.75" customHeight="1" x14ac:dyDescent="0.2">
      <c r="B43" s="4" t="s">
        <v>25</v>
      </c>
      <c r="C43" s="4"/>
      <c r="D43" s="5"/>
      <c r="E43" s="5"/>
      <c r="F43" s="5"/>
      <c r="G43" s="5"/>
      <c r="H43" s="5"/>
      <c r="I43" s="5"/>
      <c r="J43" s="6"/>
      <c r="K43" s="24"/>
      <c r="L43" s="68"/>
    </row>
    <row r="44" spans="2:12" ht="15.75" customHeight="1" x14ac:dyDescent="0.2">
      <c r="B44" s="83"/>
      <c r="C44" s="121" t="s">
        <v>2</v>
      </c>
      <c r="D44" s="56"/>
      <c r="E44" s="52" t="s">
        <v>1</v>
      </c>
      <c r="F44" s="53"/>
      <c r="G44" s="47"/>
      <c r="H44" s="51"/>
      <c r="I44" s="56" t="s">
        <v>0</v>
      </c>
      <c r="J44" s="59"/>
      <c r="K44" s="24"/>
      <c r="L44" s="68"/>
    </row>
    <row r="45" spans="2:12" ht="15.75" customHeight="1" x14ac:dyDescent="0.2">
      <c r="B45" s="9"/>
      <c r="C45" s="57" t="s">
        <v>7</v>
      </c>
      <c r="D45" s="58">
        <f>+D10</f>
        <v>0.3125</v>
      </c>
      <c r="E45" s="54" t="s">
        <v>6</v>
      </c>
      <c r="F45" s="54">
        <f>AVERAGE(J45,D45)</f>
        <v>0.3125</v>
      </c>
      <c r="G45" s="48"/>
      <c r="H45" s="2"/>
      <c r="I45" s="60" t="s">
        <v>5</v>
      </c>
      <c r="J45" s="61">
        <f>+D11</f>
        <v>0.3125</v>
      </c>
      <c r="K45" s="24"/>
      <c r="L45" s="68"/>
    </row>
    <row r="46" spans="2:12" ht="15.75" customHeight="1" x14ac:dyDescent="0.2">
      <c r="B46" s="9"/>
      <c r="C46" s="58" t="s">
        <v>8</v>
      </c>
      <c r="D46" s="58">
        <f>($D$8-D10)/2</f>
        <v>3.125E-2</v>
      </c>
      <c r="E46" s="55" t="s">
        <v>61</v>
      </c>
      <c r="F46" s="55">
        <f>+$D$25/2</f>
        <v>3.125E-2</v>
      </c>
      <c r="G46" s="49"/>
      <c r="H46" s="2"/>
      <c r="I46" s="62" t="s">
        <v>8</v>
      </c>
      <c r="J46" s="63">
        <f>($D$8-J45)/2</f>
        <v>3.125E-2</v>
      </c>
    </row>
    <row r="47" spans="2:12" ht="15.75" customHeight="1" x14ac:dyDescent="0.2">
      <c r="B47" s="9"/>
      <c r="C47" s="57" t="s">
        <v>9</v>
      </c>
      <c r="D47" s="57">
        <f>D46/0.625</f>
        <v>0.05</v>
      </c>
      <c r="E47" s="54" t="s">
        <v>62</v>
      </c>
      <c r="F47" s="54">
        <f>F46/0.625</f>
        <v>0.05</v>
      </c>
      <c r="G47" s="48"/>
      <c r="H47" s="2"/>
      <c r="I47" s="60" t="s">
        <v>9</v>
      </c>
      <c r="J47" s="61">
        <f>J46/0.625</f>
        <v>0.05</v>
      </c>
    </row>
    <row r="48" spans="2:12" ht="15.75" customHeight="1" x14ac:dyDescent="0.2">
      <c r="B48" s="9"/>
      <c r="C48" s="57" t="s">
        <v>10</v>
      </c>
      <c r="D48" s="57">
        <f>D47*0.125</f>
        <v>6.2500000000000003E-3</v>
      </c>
      <c r="E48" s="122" t="s">
        <v>63</v>
      </c>
      <c r="F48" s="54">
        <f>F47*0.125</f>
        <v>6.2500000000000003E-3</v>
      </c>
      <c r="G48" s="48"/>
      <c r="H48" s="2"/>
      <c r="I48" s="60" t="s">
        <v>10</v>
      </c>
      <c r="J48" s="61">
        <f>J47*0.125</f>
        <v>6.2500000000000003E-3</v>
      </c>
    </row>
    <row r="49" spans="2:12" ht="15.75" customHeight="1" x14ac:dyDescent="0.2">
      <c r="B49" s="15"/>
      <c r="C49" s="16"/>
      <c r="D49" s="16"/>
      <c r="E49" s="18"/>
      <c r="F49" s="17"/>
      <c r="G49" s="17"/>
      <c r="H49" s="16"/>
      <c r="I49" s="16"/>
      <c r="J49" s="19"/>
    </row>
    <row r="50" spans="2:12" ht="15.75" customHeight="1" x14ac:dyDescent="0.2">
      <c r="B50" s="27" t="s">
        <v>45</v>
      </c>
      <c r="C50" s="27"/>
      <c r="D50" s="27"/>
      <c r="E50" s="27"/>
    </row>
    <row r="52" spans="2:12" ht="15.75" customHeight="1" x14ac:dyDescent="0.2">
      <c r="B52" s="106" t="s">
        <v>30</v>
      </c>
      <c r="C52" s="65"/>
      <c r="D52" s="5"/>
      <c r="E52" s="5"/>
      <c r="F52" s="5"/>
      <c r="G52" s="5"/>
      <c r="H52" s="5"/>
      <c r="I52" s="5"/>
      <c r="J52" s="6"/>
      <c r="K52" s="103"/>
      <c r="L52" s="103"/>
    </row>
    <row r="53" spans="2:12" ht="15.75" customHeight="1" x14ac:dyDescent="0.2">
      <c r="C53" s="9"/>
      <c r="D53" s="2"/>
      <c r="E53" s="2"/>
      <c r="F53" s="2"/>
      <c r="G53" s="2"/>
      <c r="H53" s="2"/>
      <c r="I53" s="2"/>
      <c r="J53" s="8"/>
    </row>
    <row r="54" spans="2:12" ht="15.75" customHeight="1" x14ac:dyDescent="0.2">
      <c r="C54" s="9"/>
      <c r="D54" s="2"/>
      <c r="E54" s="2"/>
      <c r="F54" s="2"/>
      <c r="G54" s="2"/>
      <c r="H54" s="2"/>
      <c r="I54" s="2"/>
      <c r="J54" s="8"/>
    </row>
    <row r="55" spans="2:12" ht="15.75" customHeight="1" x14ac:dyDescent="0.2">
      <c r="C55" s="9"/>
      <c r="D55" s="2"/>
      <c r="E55" s="2"/>
      <c r="F55" s="2"/>
      <c r="G55" s="2"/>
      <c r="H55" s="2"/>
      <c r="I55" s="2"/>
      <c r="J55" s="8"/>
    </row>
    <row r="56" spans="2:12" ht="15.75" customHeight="1" x14ac:dyDescent="0.2">
      <c r="C56" s="9"/>
      <c r="D56" s="2"/>
      <c r="E56" s="2"/>
      <c r="F56" s="2"/>
      <c r="G56" s="2"/>
      <c r="H56" s="2"/>
      <c r="I56" s="2"/>
      <c r="J56" s="8"/>
    </row>
    <row r="57" spans="2:12" ht="15.75" customHeight="1" x14ac:dyDescent="0.2">
      <c r="C57" s="9"/>
      <c r="D57" s="2"/>
      <c r="E57" s="2"/>
      <c r="F57" s="2"/>
      <c r="G57" s="2"/>
      <c r="H57" s="2"/>
      <c r="I57" s="2"/>
      <c r="J57" s="8"/>
    </row>
    <row r="58" spans="2:12" ht="15.75" customHeight="1" x14ac:dyDescent="0.2">
      <c r="C58" s="9"/>
      <c r="D58" s="2"/>
      <c r="E58" s="2"/>
      <c r="F58" s="2"/>
      <c r="G58" s="2"/>
      <c r="H58" s="2"/>
      <c r="I58" s="2"/>
      <c r="J58" s="8"/>
    </row>
    <row r="59" spans="2:12" ht="15.75" customHeight="1" x14ac:dyDescent="0.2">
      <c r="C59" s="9"/>
      <c r="D59" s="2"/>
      <c r="E59" s="2"/>
      <c r="F59" s="2"/>
      <c r="G59" s="2"/>
      <c r="H59" s="2"/>
      <c r="I59" s="2"/>
      <c r="J59" s="8"/>
    </row>
    <row r="60" spans="2:12" ht="15.75" customHeight="1" x14ac:dyDescent="0.2">
      <c r="C60" s="9"/>
      <c r="D60" s="2"/>
      <c r="E60" s="2"/>
      <c r="F60" s="2"/>
      <c r="G60" s="2"/>
      <c r="H60" s="2"/>
      <c r="I60" s="2"/>
      <c r="J60" s="8"/>
    </row>
    <row r="61" spans="2:12" ht="15.75" customHeight="1" x14ac:dyDescent="0.2">
      <c r="C61" s="9"/>
      <c r="D61" s="2"/>
      <c r="E61" s="2"/>
      <c r="F61" s="2"/>
      <c r="G61" s="2"/>
      <c r="H61" s="2"/>
      <c r="I61" s="2"/>
      <c r="J61" s="8"/>
    </row>
    <row r="62" spans="2:12" ht="15.75" customHeight="1" x14ac:dyDescent="0.2">
      <c r="C62" s="9"/>
      <c r="D62" s="2"/>
      <c r="E62" s="2"/>
      <c r="F62" s="2"/>
      <c r="G62" s="2"/>
      <c r="H62" s="2"/>
      <c r="I62" s="2"/>
      <c r="J62" s="8"/>
    </row>
    <row r="63" spans="2:12" ht="15.75" customHeight="1" x14ac:dyDescent="0.2">
      <c r="C63" s="9"/>
      <c r="D63" s="2"/>
      <c r="E63" s="2"/>
      <c r="F63" s="2"/>
      <c r="G63" s="2"/>
      <c r="H63" s="2"/>
      <c r="I63" s="2"/>
      <c r="J63" s="8"/>
    </row>
    <row r="64" spans="2:12" ht="15.75" customHeight="1" x14ac:dyDescent="0.2">
      <c r="C64" s="9"/>
      <c r="D64" s="2"/>
      <c r="E64" s="2"/>
      <c r="F64" s="2"/>
      <c r="G64" s="2"/>
      <c r="H64" s="2"/>
      <c r="I64" s="2"/>
      <c r="J64" s="8"/>
    </row>
    <row r="65" spans="3:13" ht="15.75" customHeight="1" x14ac:dyDescent="0.2">
      <c r="C65" s="9"/>
      <c r="D65" s="2"/>
      <c r="E65" s="2"/>
      <c r="F65" s="2"/>
      <c r="G65" s="2"/>
      <c r="H65" s="2"/>
      <c r="I65" s="2"/>
      <c r="J65" s="8"/>
    </row>
    <row r="66" spans="3:13" ht="15.75" customHeight="1" x14ac:dyDescent="0.2">
      <c r="C66" s="9"/>
      <c r="D66" s="2"/>
      <c r="E66" s="2"/>
      <c r="F66" s="2"/>
      <c r="G66" s="2"/>
      <c r="H66" s="2"/>
      <c r="I66" s="2"/>
      <c r="J66" s="8"/>
    </row>
    <row r="67" spans="3:13" ht="15.75" customHeight="1" x14ac:dyDescent="0.2">
      <c r="C67" s="9"/>
      <c r="D67" s="2"/>
      <c r="E67" s="2"/>
      <c r="F67" s="2"/>
      <c r="G67" s="2"/>
      <c r="H67" s="2"/>
      <c r="I67" s="2"/>
      <c r="J67" s="8"/>
    </row>
    <row r="68" spans="3:13" ht="15.75" customHeight="1" x14ac:dyDescent="0.2">
      <c r="C68" s="9"/>
      <c r="D68" s="2"/>
      <c r="E68" s="2"/>
      <c r="F68" s="2"/>
      <c r="G68" s="2"/>
      <c r="H68" s="2"/>
      <c r="I68" s="2"/>
      <c r="J68" s="8"/>
    </row>
    <row r="69" spans="3:13" ht="15.75" customHeight="1" x14ac:dyDescent="0.2">
      <c r="C69" s="9"/>
      <c r="D69" s="2"/>
      <c r="E69" s="2"/>
      <c r="F69" s="2"/>
      <c r="G69" s="2"/>
      <c r="H69" s="2"/>
      <c r="I69" s="2"/>
      <c r="J69" s="8"/>
    </row>
    <row r="70" spans="3:13" ht="15.75" customHeight="1" x14ac:dyDescent="0.2">
      <c r="C70" s="9"/>
      <c r="D70" s="2"/>
      <c r="E70" s="2"/>
      <c r="F70" s="2"/>
      <c r="G70" s="2"/>
      <c r="H70" s="2"/>
      <c r="I70" s="2"/>
      <c r="J70" s="8"/>
    </row>
    <row r="72" spans="3:13" ht="15.75" customHeight="1" x14ac:dyDescent="0.2">
      <c r="C72" s="257" t="s">
        <v>97</v>
      </c>
      <c r="D72" s="257"/>
      <c r="E72" s="257"/>
      <c r="F72" s="257"/>
      <c r="G72" s="257"/>
      <c r="H72" s="257"/>
      <c r="I72" s="257"/>
      <c r="J72" s="257"/>
      <c r="K72" s="257"/>
      <c r="L72" s="257"/>
      <c r="M72" s="257"/>
    </row>
    <row r="73" spans="3:13" ht="15.75" customHeight="1" x14ac:dyDescent="0.2">
      <c r="C73" s="105"/>
      <c r="D73" s="105"/>
    </row>
    <row r="74" spans="3:13" ht="15.75" customHeight="1" x14ac:dyDescent="0.2">
      <c r="C74" s="105"/>
      <c r="D74" s="105"/>
    </row>
    <row r="75" spans="3:13" ht="15.75" customHeight="1" x14ac:dyDescent="0.2">
      <c r="C75" s="105"/>
      <c r="D75" s="105"/>
    </row>
    <row r="76" spans="3:13" ht="15.75" customHeight="1" x14ac:dyDescent="0.2">
      <c r="C76" s="105"/>
      <c r="D76" s="105"/>
    </row>
  </sheetData>
  <mergeCells count="7">
    <mergeCell ref="B6:B13"/>
    <mergeCell ref="B16:B20"/>
    <mergeCell ref="B23:B31"/>
    <mergeCell ref="C72:M72"/>
    <mergeCell ref="E19:E20"/>
    <mergeCell ref="E10:E11"/>
    <mergeCell ref="G20:J20"/>
  </mergeCells>
  <conditionalFormatting sqref="G20">
    <cfRule type="containsText" dxfId="13" priority="1" operator="containsText" text="Good">
      <formula>NOT(ISERROR(SEARCH("Good",G20)))</formula>
    </cfRule>
    <cfRule type="containsText" dxfId="12" priority="2" operator="containsText" text="Wrong Tool">
      <formula>NOT(ISERROR(SEARCH("Wrong Tool",G20)))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36"/>
  <sheetViews>
    <sheetView zoomScale="85" zoomScaleNormal="85" workbookViewId="0">
      <selection activeCell="J21" sqref="J21"/>
    </sheetView>
  </sheetViews>
  <sheetFormatPr defaultColWidth="14.42578125" defaultRowHeight="15.75" customHeight="1" x14ac:dyDescent="0.2"/>
  <cols>
    <col min="1" max="1" width="9.7109375" customWidth="1"/>
    <col min="2" max="2" width="13" customWidth="1"/>
    <col min="3" max="3" width="36.42578125" customWidth="1"/>
    <col min="4" max="4" width="11.85546875" customWidth="1"/>
    <col min="5" max="5" width="38" customWidth="1"/>
    <col min="6" max="6" width="8.7109375" bestFit="1" customWidth="1"/>
    <col min="7" max="7" width="11.140625" customWidth="1"/>
    <col min="8" max="8" width="15.85546875" customWidth="1"/>
    <col min="9" max="9" width="9" customWidth="1"/>
    <col min="10" max="10" width="40.7109375" bestFit="1" customWidth="1"/>
    <col min="11" max="11" width="7.7109375" customWidth="1"/>
    <col min="12" max="12" width="40.140625" customWidth="1"/>
    <col min="13" max="13" width="27.42578125" customWidth="1"/>
    <col min="14" max="31" width="40.140625" customWidth="1"/>
  </cols>
  <sheetData>
    <row r="2" spans="2:11" ht="15.75" customHeight="1" x14ac:dyDescent="0.2">
      <c r="B2" s="30" t="s">
        <v>52</v>
      </c>
      <c r="C2" s="30"/>
      <c r="D2" s="30"/>
      <c r="E2" s="30"/>
      <c r="K2" s="24"/>
    </row>
    <row r="3" spans="2:11" ht="15.75" customHeight="1" x14ac:dyDescent="0.2">
      <c r="B3" s="46" t="s">
        <v>15</v>
      </c>
    </row>
    <row r="5" spans="2:11" ht="15.75" customHeight="1" x14ac:dyDescent="0.2">
      <c r="B5" s="265" t="s">
        <v>178</v>
      </c>
      <c r="C5" s="265"/>
      <c r="D5" s="265"/>
      <c r="E5" s="270"/>
    </row>
    <row r="6" spans="2:11" ht="15.75" customHeight="1" x14ac:dyDescent="0.2">
      <c r="B6" s="251">
        <v>1</v>
      </c>
      <c r="C6" s="149" t="s">
        <v>3</v>
      </c>
      <c r="D6" s="26"/>
      <c r="E6" s="28"/>
    </row>
    <row r="7" spans="2:11" ht="15.75" customHeight="1" x14ac:dyDescent="0.2">
      <c r="B7" s="252"/>
      <c r="C7" s="10" t="s">
        <v>16</v>
      </c>
      <c r="D7" s="2"/>
      <c r="E7" s="8"/>
    </row>
    <row r="8" spans="2:11" ht="15.75" customHeight="1" x14ac:dyDescent="0.2">
      <c r="B8" s="252"/>
      <c r="C8" s="11" t="s">
        <v>32</v>
      </c>
      <c r="D8" s="129">
        <v>0.1394</v>
      </c>
      <c r="E8" s="8"/>
    </row>
    <row r="9" spans="2:11" ht="15.75" customHeight="1" x14ac:dyDescent="0.2">
      <c r="B9" s="253"/>
      <c r="C9" s="150" t="s">
        <v>4</v>
      </c>
      <c r="D9" s="134">
        <v>0.18540000000000001</v>
      </c>
      <c r="E9" s="151"/>
    </row>
    <row r="10" spans="2:11" ht="15.75" customHeight="1" x14ac:dyDescent="0.2">
      <c r="B10" s="138"/>
      <c r="C10" s="2"/>
      <c r="D10" s="31"/>
      <c r="E10" s="2"/>
      <c r="I10" s="88"/>
    </row>
    <row r="11" spans="2:11" ht="15.75" customHeight="1" x14ac:dyDescent="0.2">
      <c r="B11" s="38" t="s">
        <v>17</v>
      </c>
      <c r="C11" s="38"/>
      <c r="D11" s="174"/>
      <c r="E11" s="5"/>
      <c r="F11" s="139"/>
      <c r="G11" s="24"/>
      <c r="H11" s="24"/>
      <c r="I11" s="24"/>
      <c r="J11" s="24"/>
    </row>
    <row r="12" spans="2:11" ht="15.75" customHeight="1" x14ac:dyDescent="0.25">
      <c r="B12" s="267">
        <v>2</v>
      </c>
      <c r="C12" s="152" t="s">
        <v>44</v>
      </c>
      <c r="D12" s="176">
        <v>0.24</v>
      </c>
      <c r="E12" s="28"/>
      <c r="F12" s="203" t="s">
        <v>155</v>
      </c>
      <c r="G12" s="68"/>
      <c r="H12" s="68"/>
      <c r="I12" s="68"/>
      <c r="J12" s="68"/>
    </row>
    <row r="13" spans="2:11" ht="15.75" customHeight="1" x14ac:dyDescent="0.2">
      <c r="B13" s="268"/>
      <c r="C13" s="12" t="s">
        <v>88</v>
      </c>
      <c r="D13" s="130">
        <v>2.3999999999999998E-3</v>
      </c>
      <c r="E13" s="159" t="s">
        <v>114</v>
      </c>
      <c r="G13" s="68"/>
      <c r="H13" s="68"/>
      <c r="I13" s="68"/>
      <c r="J13" s="68"/>
    </row>
    <row r="14" spans="2:11" ht="15.75" customHeight="1" x14ac:dyDescent="0.2">
      <c r="B14" s="268"/>
      <c r="C14" s="92" t="s">
        <v>74</v>
      </c>
      <c r="D14" s="93">
        <f>D13*(SQRT(3)/2)</f>
        <v>2.0784609690826525E-3</v>
      </c>
      <c r="E14" s="8"/>
      <c r="G14" s="68"/>
      <c r="H14" s="68"/>
      <c r="I14" s="68"/>
      <c r="J14" s="68"/>
    </row>
    <row r="15" spans="2:11" ht="15.75" customHeight="1" x14ac:dyDescent="0.2">
      <c r="B15" s="269"/>
      <c r="C15" s="153"/>
      <c r="D15" s="154"/>
      <c r="E15" s="23"/>
      <c r="G15" s="68"/>
      <c r="H15" s="68"/>
      <c r="I15" s="68"/>
      <c r="J15" s="68"/>
    </row>
    <row r="16" spans="2:11" ht="15.75" customHeight="1" x14ac:dyDescent="0.2">
      <c r="D16" s="88"/>
    </row>
    <row r="17" spans="2:17" ht="15" customHeight="1" x14ac:dyDescent="0.2">
      <c r="B17" s="38" t="s">
        <v>91</v>
      </c>
      <c r="C17" s="38"/>
      <c r="D17" s="174"/>
      <c r="E17" s="5"/>
      <c r="F17" s="24"/>
      <c r="G17" s="24"/>
      <c r="H17" s="24"/>
      <c r="I17" s="24"/>
      <c r="J17" s="24"/>
      <c r="L17" s="24"/>
      <c r="N17" s="24"/>
      <c r="O17" s="24"/>
      <c r="P17" s="24"/>
      <c r="Q17" s="24"/>
    </row>
    <row r="18" spans="2:17" ht="15.75" customHeight="1" x14ac:dyDescent="0.2">
      <c r="C18" s="83" t="s">
        <v>6</v>
      </c>
      <c r="D18" s="173">
        <f>D8</f>
        <v>0.1394</v>
      </c>
      <c r="E18" s="27" t="s">
        <v>51</v>
      </c>
      <c r="F18" s="24"/>
      <c r="G18" s="24"/>
      <c r="H18" s="24"/>
      <c r="I18" s="24"/>
      <c r="J18" s="24"/>
    </row>
    <row r="19" spans="2:17" ht="15.75" customHeight="1" x14ac:dyDescent="0.2">
      <c r="B19" s="155"/>
      <c r="C19" s="9"/>
      <c r="D19" s="14"/>
      <c r="E19" s="2"/>
      <c r="F19" s="24"/>
      <c r="G19" s="24"/>
      <c r="H19" s="24"/>
      <c r="I19" s="24"/>
      <c r="J19" s="24"/>
    </row>
    <row r="20" spans="2:17" ht="15.75" customHeight="1" x14ac:dyDescent="0.2">
      <c r="B20" s="155"/>
      <c r="C20" s="9" t="s">
        <v>55</v>
      </c>
      <c r="D20" s="14">
        <f>D9-D8</f>
        <v>4.6000000000000013E-2</v>
      </c>
      <c r="E20" s="21" t="s">
        <v>22</v>
      </c>
      <c r="F20" s="24"/>
      <c r="G20" s="24"/>
      <c r="H20" s="24"/>
      <c r="I20" s="24"/>
      <c r="J20" s="24"/>
    </row>
    <row r="21" spans="2:17" ht="15.75" customHeight="1" x14ac:dyDescent="0.2">
      <c r="B21" s="155"/>
      <c r="C21" s="9" t="s">
        <v>23</v>
      </c>
      <c r="D21" s="14">
        <f>(2*F33)</f>
        <v>1.8400000000000007E-2</v>
      </c>
      <c r="E21" s="21" t="s">
        <v>56</v>
      </c>
      <c r="F21" s="24"/>
      <c r="G21" s="24"/>
      <c r="H21" s="24"/>
      <c r="I21" s="24"/>
      <c r="J21" s="24"/>
    </row>
    <row r="22" spans="2:17" ht="15.75" customHeight="1" x14ac:dyDescent="0.2">
      <c r="B22" s="155"/>
      <c r="C22" s="9" t="s">
        <v>24</v>
      </c>
      <c r="D22" s="41">
        <f>-(2*D14)</f>
        <v>-4.156921938165305E-3</v>
      </c>
      <c r="E22" s="21" t="s">
        <v>57</v>
      </c>
      <c r="F22" s="24"/>
      <c r="G22" s="24"/>
      <c r="H22" s="24"/>
      <c r="I22" s="24"/>
      <c r="J22" s="24"/>
    </row>
    <row r="23" spans="2:17" ht="15.75" customHeight="1" x14ac:dyDescent="0.2">
      <c r="B23" s="251">
        <v>3</v>
      </c>
      <c r="C23" s="156" t="s">
        <v>91</v>
      </c>
      <c r="D23" s="175">
        <f>IF(SUM(D20:D22)&gt;=-0.001,SUM(D20:D22),"Use Threadmill with Sharper Point")</f>
        <v>6.0243078061834709E-2</v>
      </c>
      <c r="E23" s="136"/>
      <c r="F23" s="24"/>
      <c r="G23" s="24"/>
      <c r="H23" s="24"/>
      <c r="I23" s="24"/>
      <c r="J23" s="24"/>
    </row>
    <row r="24" spans="2:17" ht="3.75" customHeight="1" x14ac:dyDescent="0.2">
      <c r="B24" s="252"/>
      <c r="C24" s="125"/>
      <c r="D24" s="126"/>
      <c r="E24" s="32"/>
      <c r="F24" s="24"/>
      <c r="G24" s="24"/>
      <c r="H24" s="24"/>
      <c r="I24" s="24"/>
      <c r="J24" s="24"/>
    </row>
    <row r="25" spans="2:17" ht="15.75" customHeight="1" x14ac:dyDescent="0.2">
      <c r="B25" s="252"/>
      <c r="C25" s="24"/>
      <c r="D25" s="24"/>
      <c r="E25" s="32"/>
      <c r="F25" s="24"/>
      <c r="G25" s="24"/>
      <c r="H25" s="24"/>
      <c r="I25" s="24"/>
      <c r="J25" s="24"/>
    </row>
    <row r="26" spans="2:17" ht="18.75" customHeight="1" x14ac:dyDescent="0.2">
      <c r="B26" s="253"/>
      <c r="C26" s="15"/>
      <c r="D26" s="101"/>
      <c r="E26" s="35"/>
      <c r="F26" s="24"/>
      <c r="G26" s="24"/>
      <c r="H26" s="24"/>
      <c r="I26" s="24"/>
      <c r="J26" s="24"/>
    </row>
    <row r="27" spans="2:17" ht="15.75" customHeight="1" x14ac:dyDescent="0.2">
      <c r="C27" s="2"/>
      <c r="D27" s="2"/>
      <c r="E27" s="2"/>
      <c r="F27" s="2"/>
      <c r="G27" s="2"/>
      <c r="H27" s="2"/>
      <c r="I27" s="2"/>
      <c r="J27" s="2"/>
    </row>
    <row r="28" spans="2:17" ht="15.75" customHeight="1" x14ac:dyDescent="0.2">
      <c r="B28" s="265" t="s">
        <v>25</v>
      </c>
      <c r="C28" s="265"/>
      <c r="D28" s="5"/>
      <c r="E28" s="5"/>
      <c r="F28" s="5"/>
      <c r="G28" s="5"/>
      <c r="H28" s="5"/>
      <c r="I28" s="5"/>
      <c r="J28" s="6"/>
      <c r="K28" s="24"/>
      <c r="L28" s="68"/>
    </row>
    <row r="29" spans="2:17" ht="15.75" customHeight="1" x14ac:dyDescent="0.2">
      <c r="B29" s="83"/>
      <c r="C29" s="121" t="s">
        <v>2</v>
      </c>
      <c r="D29" s="56"/>
      <c r="E29" s="52" t="s">
        <v>1</v>
      </c>
      <c r="F29" s="53"/>
      <c r="G29" s="47"/>
      <c r="H29" s="51"/>
      <c r="I29" s="56" t="s">
        <v>0</v>
      </c>
      <c r="J29" s="59"/>
      <c r="K29" s="24"/>
      <c r="L29" s="68"/>
    </row>
    <row r="30" spans="2:17" ht="15.75" customHeight="1" x14ac:dyDescent="0.2">
      <c r="B30" s="9"/>
      <c r="C30" s="57" t="s">
        <v>99</v>
      </c>
      <c r="D30" s="58">
        <f>+D9</f>
        <v>0.18540000000000001</v>
      </c>
      <c r="E30" s="54" t="s">
        <v>100</v>
      </c>
      <c r="F30" s="54">
        <f>AVERAGE(J30,D30)</f>
        <v>0.18540000000000001</v>
      </c>
      <c r="G30" s="48"/>
      <c r="H30" s="2"/>
      <c r="I30" s="60" t="s">
        <v>98</v>
      </c>
      <c r="J30" s="61">
        <f>D9</f>
        <v>0.18540000000000001</v>
      </c>
      <c r="K30" s="24"/>
      <c r="L30" s="68"/>
    </row>
    <row r="31" spans="2:17" ht="15.75" customHeight="1" x14ac:dyDescent="0.2">
      <c r="B31" s="9"/>
      <c r="C31" s="58" t="s">
        <v>8</v>
      </c>
      <c r="D31" s="58">
        <f>($D$8-D9)/2</f>
        <v>-2.3000000000000007E-2</v>
      </c>
      <c r="E31" s="55" t="s">
        <v>61</v>
      </c>
      <c r="F31" s="55">
        <f>+$D$20/2</f>
        <v>2.3000000000000007E-2</v>
      </c>
      <c r="G31" s="49"/>
      <c r="H31" s="2"/>
      <c r="I31" s="62" t="s">
        <v>8</v>
      </c>
      <c r="J31" s="63">
        <f>($D$8-J30)/2</f>
        <v>-2.3000000000000007E-2</v>
      </c>
    </row>
    <row r="32" spans="2:17" ht="15.75" customHeight="1" x14ac:dyDescent="0.2">
      <c r="B32" s="9"/>
      <c r="C32" s="57" t="s">
        <v>9</v>
      </c>
      <c r="D32" s="57">
        <f>D31/0.625</f>
        <v>-3.6800000000000013E-2</v>
      </c>
      <c r="E32" s="54" t="s">
        <v>62</v>
      </c>
      <c r="F32" s="54">
        <f>F31/0.625</f>
        <v>3.6800000000000013E-2</v>
      </c>
      <c r="G32" s="48"/>
      <c r="H32" s="2"/>
      <c r="I32" s="60" t="s">
        <v>9</v>
      </c>
      <c r="J32" s="61">
        <f>J31/0.625</f>
        <v>-3.6800000000000013E-2</v>
      </c>
    </row>
    <row r="33" spans="2:10" ht="15.75" customHeight="1" x14ac:dyDescent="0.2">
      <c r="B33" s="15"/>
      <c r="C33" s="144" t="s">
        <v>10</v>
      </c>
      <c r="D33" s="144">
        <f>D32*0.25</f>
        <v>-9.2000000000000033E-3</v>
      </c>
      <c r="E33" s="145" t="s">
        <v>63</v>
      </c>
      <c r="F33" s="85">
        <f>F32*0.25</f>
        <v>9.2000000000000033E-3</v>
      </c>
      <c r="G33" s="146"/>
      <c r="H33" s="16"/>
      <c r="I33" s="147" t="s">
        <v>10</v>
      </c>
      <c r="J33" s="148">
        <f>J32*0.25</f>
        <v>-9.2000000000000033E-3</v>
      </c>
    </row>
    <row r="34" spans="2:10" ht="12.75" x14ac:dyDescent="0.2">
      <c r="C34" s="266"/>
      <c r="D34" s="266"/>
      <c r="E34" s="266"/>
    </row>
    <row r="36" spans="2:10" ht="15.75" customHeight="1" x14ac:dyDescent="0.2">
      <c r="C36" s="105"/>
      <c r="D36" s="105"/>
    </row>
  </sheetData>
  <mergeCells count="6">
    <mergeCell ref="B28:C28"/>
    <mergeCell ref="C34:E34"/>
    <mergeCell ref="B12:B15"/>
    <mergeCell ref="B23:B26"/>
    <mergeCell ref="B5:E5"/>
    <mergeCell ref="B6:B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A53B7-7BF3-4F83-BF7C-C66C5518B3CC}">
  <dimension ref="B2:D12"/>
  <sheetViews>
    <sheetView tabSelected="1" workbookViewId="0">
      <selection activeCell="D25" sqref="D25"/>
    </sheetView>
  </sheetViews>
  <sheetFormatPr defaultRowHeight="12.75" x14ac:dyDescent="0.2"/>
  <cols>
    <col min="2" max="2" width="31.28515625" customWidth="1"/>
    <col min="4" max="4" width="84.85546875" customWidth="1"/>
  </cols>
  <sheetData>
    <row r="2" spans="2:4" x14ac:dyDescent="0.2">
      <c r="B2" s="30" t="s">
        <v>190</v>
      </c>
      <c r="C2" s="30"/>
      <c r="D2" s="103"/>
    </row>
    <row r="3" spans="2:4" x14ac:dyDescent="0.2">
      <c r="B3" s="83" t="s">
        <v>191</v>
      </c>
      <c r="C3" s="303">
        <v>0.5</v>
      </c>
      <c r="D3" s="306"/>
    </row>
    <row r="4" spans="2:4" x14ac:dyDescent="0.2">
      <c r="B4" s="12" t="s">
        <v>193</v>
      </c>
      <c r="C4" s="304">
        <v>60</v>
      </c>
      <c r="D4" s="307" t="s">
        <v>196</v>
      </c>
    </row>
    <row r="5" spans="2:4" x14ac:dyDescent="0.2">
      <c r="B5" s="9" t="s">
        <v>192</v>
      </c>
      <c r="C5" s="304">
        <v>0.375</v>
      </c>
      <c r="D5" s="308"/>
    </row>
    <row r="6" spans="2:4" x14ac:dyDescent="0.2">
      <c r="B6" s="36" t="s">
        <v>194</v>
      </c>
      <c r="C6" s="305">
        <f>(C4*(C3-C5))/C3</f>
        <v>15</v>
      </c>
      <c r="D6" s="309" t="s">
        <v>195</v>
      </c>
    </row>
    <row r="8" spans="2:4" x14ac:dyDescent="0.2">
      <c r="B8" s="30" t="s">
        <v>197</v>
      </c>
      <c r="C8" s="30"/>
      <c r="D8" s="103"/>
    </row>
    <row r="9" spans="2:4" x14ac:dyDescent="0.2">
      <c r="B9" s="83" t="s">
        <v>191</v>
      </c>
      <c r="C9" s="303">
        <v>0.5</v>
      </c>
      <c r="D9" s="306"/>
    </row>
    <row r="10" spans="2:4" x14ac:dyDescent="0.2">
      <c r="B10" s="12" t="s">
        <v>193</v>
      </c>
      <c r="C10" s="304">
        <v>60</v>
      </c>
      <c r="D10" s="307" t="s">
        <v>196</v>
      </c>
    </row>
    <row r="11" spans="2:4" x14ac:dyDescent="0.2">
      <c r="B11" s="9" t="s">
        <v>192</v>
      </c>
      <c r="C11" s="304">
        <v>0.375</v>
      </c>
      <c r="D11" s="308"/>
    </row>
    <row r="12" spans="2:4" x14ac:dyDescent="0.2">
      <c r="B12" s="36" t="s">
        <v>194</v>
      </c>
      <c r="C12" s="305">
        <f>(C10*(C9+C11))/C9</f>
        <v>105</v>
      </c>
      <c r="D12" s="309" t="s">
        <v>195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76"/>
  <sheetViews>
    <sheetView zoomScale="85" zoomScaleNormal="85" workbookViewId="0">
      <selection activeCell="G12" sqref="G12"/>
    </sheetView>
  </sheetViews>
  <sheetFormatPr defaultColWidth="14.42578125" defaultRowHeight="15.75" customHeight="1" x14ac:dyDescent="0.2"/>
  <cols>
    <col min="1" max="1" width="8" customWidth="1"/>
    <col min="2" max="2" width="10.7109375" customWidth="1"/>
    <col min="3" max="3" width="36.42578125" customWidth="1"/>
    <col min="4" max="4" width="11.85546875" customWidth="1"/>
    <col min="5" max="5" width="38" customWidth="1"/>
    <col min="6" max="6" width="8.7109375" bestFit="1" customWidth="1"/>
    <col min="7" max="7" width="11.140625" customWidth="1"/>
    <col min="8" max="8" width="15.85546875" customWidth="1"/>
    <col min="9" max="9" width="9" customWidth="1"/>
    <col min="10" max="10" width="40.7109375" bestFit="1" customWidth="1"/>
    <col min="11" max="11" width="7.7109375" customWidth="1"/>
    <col min="12" max="12" width="22.28515625" customWidth="1"/>
    <col min="13" max="13" width="27.42578125" customWidth="1"/>
    <col min="14" max="31" width="40.140625" customWidth="1"/>
  </cols>
  <sheetData>
    <row r="2" spans="2:11" ht="15.75" customHeight="1" x14ac:dyDescent="0.2">
      <c r="B2" s="30" t="s">
        <v>52</v>
      </c>
      <c r="C2" s="30"/>
      <c r="D2" s="30"/>
      <c r="E2" s="30"/>
      <c r="F2" s="30"/>
      <c r="G2" s="30"/>
      <c r="H2" s="30"/>
      <c r="I2" s="30"/>
      <c r="J2" s="30"/>
      <c r="K2" s="24"/>
    </row>
    <row r="3" spans="2:11" ht="15.75" customHeight="1" x14ac:dyDescent="0.2">
      <c r="B3" s="46" t="s">
        <v>15</v>
      </c>
    </row>
    <row r="5" spans="2:11" ht="15.75" customHeight="1" x14ac:dyDescent="0.2">
      <c r="B5" s="265" t="s">
        <v>178</v>
      </c>
      <c r="C5" s="265"/>
      <c r="D5" s="265"/>
      <c r="E5" s="270"/>
    </row>
    <row r="6" spans="2:11" ht="15.75" customHeight="1" x14ac:dyDescent="0.2">
      <c r="B6" s="254">
        <v>1</v>
      </c>
      <c r="C6" s="7" t="s">
        <v>3</v>
      </c>
      <c r="D6" s="2"/>
      <c r="E6" s="8"/>
    </row>
    <row r="7" spans="2:11" ht="15.75" customHeight="1" x14ac:dyDescent="0.2">
      <c r="B7" s="255"/>
      <c r="C7" s="10" t="s">
        <v>16</v>
      </c>
      <c r="D7" s="2"/>
      <c r="E7" s="8"/>
    </row>
    <row r="8" spans="2:11" ht="15.75" customHeight="1" x14ac:dyDescent="0.2">
      <c r="B8" s="255"/>
      <c r="C8" s="11" t="s">
        <v>32</v>
      </c>
      <c r="D8" s="129">
        <v>0.40689999999999998</v>
      </c>
      <c r="E8" s="8"/>
    </row>
    <row r="9" spans="2:11" ht="15.75" customHeight="1" x14ac:dyDescent="0.2">
      <c r="B9" s="255"/>
      <c r="C9" s="110" t="s">
        <v>12</v>
      </c>
      <c r="D9" s="111" t="s">
        <v>101</v>
      </c>
      <c r="E9" s="137" t="s">
        <v>112</v>
      </c>
    </row>
    <row r="10" spans="2:11" ht="15.75" customHeight="1" x14ac:dyDescent="0.2">
      <c r="B10" s="255"/>
      <c r="C10" s="11" t="s">
        <v>99</v>
      </c>
      <c r="D10" s="129">
        <v>0.4985</v>
      </c>
      <c r="E10" s="260" t="s">
        <v>177</v>
      </c>
    </row>
    <row r="11" spans="2:11" ht="15.75" customHeight="1" x14ac:dyDescent="0.2">
      <c r="B11" s="255"/>
      <c r="C11" s="11" t="s">
        <v>98</v>
      </c>
      <c r="D11" s="129">
        <v>0.48220000000000002</v>
      </c>
      <c r="E11" s="261"/>
    </row>
    <row r="12" spans="2:11" ht="15.75" customHeight="1" x14ac:dyDescent="0.2">
      <c r="B12" s="255"/>
      <c r="C12" s="13" t="s">
        <v>102</v>
      </c>
      <c r="D12" s="31"/>
      <c r="E12" s="237" t="s">
        <v>180</v>
      </c>
    </row>
    <row r="13" spans="2:11" ht="15.75" customHeight="1" x14ac:dyDescent="0.2">
      <c r="B13" s="256"/>
      <c r="C13" s="15"/>
      <c r="D13" s="34"/>
      <c r="E13" s="23"/>
      <c r="I13" s="88"/>
    </row>
    <row r="14" spans="2:11" ht="15.75" customHeight="1" x14ac:dyDescent="0.25">
      <c r="B14" s="138"/>
      <c r="C14" s="2"/>
      <c r="D14" s="31"/>
      <c r="E14" s="2"/>
      <c r="G14" s="203" t="s">
        <v>155</v>
      </c>
      <c r="I14" s="88"/>
    </row>
    <row r="15" spans="2:11" ht="15.75" customHeight="1" x14ac:dyDescent="0.2">
      <c r="B15" s="38" t="s">
        <v>17</v>
      </c>
      <c r="C15" s="38"/>
      <c r="D15" s="5"/>
      <c r="E15" s="5"/>
      <c r="F15" s="139"/>
      <c r="G15" s="30" t="s">
        <v>81</v>
      </c>
      <c r="H15" s="30"/>
      <c r="I15" s="30"/>
      <c r="J15" s="30"/>
    </row>
    <row r="16" spans="2:11" ht="15.75" customHeight="1" x14ac:dyDescent="0.2">
      <c r="B16" s="255">
        <v>2</v>
      </c>
      <c r="C16" s="22" t="s">
        <v>44</v>
      </c>
      <c r="D16" s="129">
        <v>0.38800000000000001</v>
      </c>
      <c r="E16" s="8"/>
      <c r="G16" s="171" t="s">
        <v>105</v>
      </c>
      <c r="H16" s="162"/>
      <c r="I16" s="169"/>
      <c r="J16" s="163"/>
    </row>
    <row r="17" spans="2:17" ht="15.75" customHeight="1" x14ac:dyDescent="0.2">
      <c r="B17" s="255"/>
      <c r="C17" s="12" t="s">
        <v>88</v>
      </c>
      <c r="D17" s="130">
        <v>3.5000000000000001E-3</v>
      </c>
      <c r="E17" s="159" t="s">
        <v>104</v>
      </c>
      <c r="G17" s="172" t="s">
        <v>106</v>
      </c>
      <c r="H17" s="164"/>
      <c r="I17" s="170"/>
      <c r="J17" s="165"/>
    </row>
    <row r="18" spans="2:17" ht="15.75" customHeight="1" x14ac:dyDescent="0.2">
      <c r="B18" s="255"/>
      <c r="C18" s="92" t="s">
        <v>74</v>
      </c>
      <c r="D18" s="93">
        <f>D17*(SQRT(3)/2)</f>
        <v>3.0310889132455351E-3</v>
      </c>
      <c r="E18" s="8"/>
      <c r="G18" s="166"/>
      <c r="H18" s="167"/>
      <c r="I18" s="167"/>
      <c r="J18" s="168"/>
    </row>
    <row r="19" spans="2:17" ht="15.75" customHeight="1" x14ac:dyDescent="0.2">
      <c r="B19" s="255"/>
      <c r="C19" s="20" t="s">
        <v>79</v>
      </c>
      <c r="D19" s="31">
        <v>0</v>
      </c>
      <c r="E19" s="258" t="s">
        <v>157</v>
      </c>
      <c r="G19" s="166"/>
      <c r="H19" s="167"/>
      <c r="I19" s="167"/>
      <c r="J19" s="168"/>
    </row>
    <row r="20" spans="2:17" ht="15.75" customHeight="1" x14ac:dyDescent="0.2">
      <c r="B20" s="256"/>
      <c r="C20" s="78" t="s">
        <v>80</v>
      </c>
      <c r="D20" s="85">
        <f>D16-D19</f>
        <v>0.38800000000000001</v>
      </c>
      <c r="E20" s="259"/>
      <c r="G20" s="262" t="str">
        <f>IF((D20&lt;D28),"Wrong Tool","Good")</f>
        <v>Good</v>
      </c>
      <c r="H20" s="263"/>
      <c r="I20" s="263"/>
      <c r="J20" s="264"/>
    </row>
    <row r="22" spans="2:17" ht="15.75" customHeight="1" x14ac:dyDescent="0.2">
      <c r="B22" s="38" t="s">
        <v>91</v>
      </c>
      <c r="C22" s="38"/>
      <c r="D22" s="5"/>
      <c r="E22" s="5"/>
      <c r="F22" s="5"/>
      <c r="G22" s="5"/>
      <c r="H22" s="5"/>
      <c r="I22" s="5"/>
      <c r="J22" s="6"/>
      <c r="L22" s="24"/>
      <c r="N22" s="24"/>
      <c r="O22" s="24"/>
      <c r="P22" s="24"/>
      <c r="Q22" s="24"/>
    </row>
    <row r="23" spans="2:17" ht="15.75" customHeight="1" x14ac:dyDescent="0.2">
      <c r="B23" s="254">
        <v>3</v>
      </c>
      <c r="C23" s="89" t="s">
        <v>100</v>
      </c>
      <c r="D23" s="235">
        <f>+F45</f>
        <v>0.49035000000000001</v>
      </c>
      <c r="E23" s="236" t="s">
        <v>179</v>
      </c>
      <c r="F23" s="26"/>
      <c r="G23" s="26"/>
      <c r="H23" s="26"/>
      <c r="I23" s="26"/>
      <c r="J23" s="28"/>
    </row>
    <row r="24" spans="2:17" ht="15.75" customHeight="1" x14ac:dyDescent="0.2">
      <c r="B24" s="255"/>
      <c r="C24" s="91"/>
      <c r="D24" s="14"/>
      <c r="E24" s="2"/>
      <c r="F24" s="2"/>
      <c r="G24" s="2"/>
      <c r="H24" s="2"/>
      <c r="I24" s="2"/>
      <c r="J24" s="8"/>
    </row>
    <row r="25" spans="2:17" ht="15.75" customHeight="1" x14ac:dyDescent="0.2">
      <c r="B25" s="255"/>
      <c r="C25" s="91" t="s">
        <v>55</v>
      </c>
      <c r="D25" s="158">
        <f>D23-D8</f>
        <v>8.3450000000000024E-2</v>
      </c>
      <c r="E25" s="21" t="s">
        <v>22</v>
      </c>
      <c r="F25" s="2"/>
      <c r="G25" s="2"/>
      <c r="H25" s="2"/>
      <c r="I25" s="2"/>
      <c r="J25" s="8"/>
    </row>
    <row r="26" spans="2:17" ht="15.75" customHeight="1" x14ac:dyDescent="0.2">
      <c r="B26" s="255"/>
      <c r="C26" s="91" t="s">
        <v>23</v>
      </c>
      <c r="D26" s="158">
        <f>(2*F48)</f>
        <v>3.3380000000000007E-2</v>
      </c>
      <c r="E26" s="21" t="s">
        <v>56</v>
      </c>
      <c r="F26" s="2"/>
      <c r="G26" s="2"/>
      <c r="H26" s="2"/>
      <c r="I26" s="2"/>
      <c r="J26" s="8"/>
    </row>
    <row r="27" spans="2:17" ht="15.75" customHeight="1" x14ac:dyDescent="0.2">
      <c r="B27" s="255"/>
      <c r="C27" s="91" t="s">
        <v>24</v>
      </c>
      <c r="D27" s="124">
        <f>-(2*D18)</f>
        <v>-6.0621778264910702E-3</v>
      </c>
      <c r="E27" s="21" t="s">
        <v>108</v>
      </c>
      <c r="F27" s="2"/>
      <c r="G27" s="3" t="s">
        <v>180</v>
      </c>
      <c r="H27" s="2"/>
      <c r="I27" s="64"/>
      <c r="J27" s="8"/>
    </row>
    <row r="28" spans="2:17" ht="15.75" customHeight="1" x14ac:dyDescent="0.2">
      <c r="B28" s="255"/>
      <c r="C28" s="100" t="s">
        <v>91</v>
      </c>
      <c r="D28" s="123">
        <f>IF(SUM(D25:D27)&gt;=-0.001,SUM(D25:D27),"Use Threadmill with Sharper Point")</f>
        <v>0.11076782217350896</v>
      </c>
      <c r="E28" s="21"/>
      <c r="F28" s="2"/>
      <c r="G28" s="2"/>
      <c r="H28" s="2"/>
      <c r="I28" s="2"/>
      <c r="J28" s="8"/>
    </row>
    <row r="29" spans="2:17" ht="4.5" customHeight="1" x14ac:dyDescent="0.2">
      <c r="B29" s="255"/>
      <c r="C29" s="21"/>
      <c r="D29" s="158"/>
      <c r="E29" s="21"/>
      <c r="F29" s="2"/>
      <c r="G29" s="2"/>
      <c r="H29" s="2"/>
      <c r="I29" s="2"/>
      <c r="J29" s="8"/>
    </row>
    <row r="30" spans="2:17" ht="15.75" customHeight="1" x14ac:dyDescent="0.2">
      <c r="B30" s="255"/>
      <c r="C30" s="24"/>
      <c r="D30" s="24"/>
      <c r="E30" s="21"/>
      <c r="F30" s="2"/>
      <c r="H30" s="2"/>
      <c r="I30" s="2"/>
      <c r="J30" s="8"/>
    </row>
    <row r="31" spans="2:17" ht="15.75" customHeight="1" x14ac:dyDescent="0.2">
      <c r="B31" s="256"/>
      <c r="C31" s="15"/>
      <c r="D31" s="101"/>
      <c r="E31" s="84"/>
      <c r="F31" s="16"/>
      <c r="G31" s="16"/>
      <c r="H31" s="16"/>
      <c r="I31" s="16"/>
      <c r="J31" s="23"/>
    </row>
    <row r="32" spans="2:17" ht="15.75" customHeight="1" x14ac:dyDescent="0.2">
      <c r="C32" s="2"/>
      <c r="D32" s="2"/>
      <c r="E32" s="2"/>
      <c r="F32" s="2"/>
      <c r="G32" s="2"/>
      <c r="H32" s="2"/>
      <c r="I32" s="2"/>
      <c r="J32" s="2"/>
    </row>
    <row r="33" spans="2:12" ht="15.75" customHeight="1" x14ac:dyDescent="0.2">
      <c r="B33" s="80" t="s">
        <v>54</v>
      </c>
      <c r="C33" s="140"/>
      <c r="D33" s="140"/>
      <c r="E33" s="140"/>
      <c r="F33" s="140"/>
      <c r="G33" s="140"/>
      <c r="H33" s="140"/>
      <c r="I33" s="140"/>
      <c r="J33" s="140"/>
    </row>
    <row r="34" spans="2:12" ht="15.75" customHeight="1" x14ac:dyDescent="0.2">
      <c r="B34" s="274" t="s">
        <v>53</v>
      </c>
      <c r="C34" s="275"/>
      <c r="D34" s="275"/>
      <c r="E34" s="275"/>
      <c r="F34" s="275"/>
      <c r="G34" s="275"/>
      <c r="H34" s="275"/>
      <c r="I34" s="275"/>
      <c r="J34" s="276"/>
    </row>
    <row r="35" spans="2:12" ht="15.75" customHeight="1" x14ac:dyDescent="0.2">
      <c r="B35" s="277" t="s">
        <v>58</v>
      </c>
      <c r="C35" s="278"/>
      <c r="D35" s="278"/>
      <c r="E35" s="278"/>
      <c r="F35" s="278"/>
      <c r="G35" s="278"/>
      <c r="H35" s="278"/>
      <c r="I35" s="278"/>
      <c r="J35" s="279"/>
    </row>
    <row r="36" spans="2:12" ht="15.75" customHeight="1" x14ac:dyDescent="0.2">
      <c r="B36" s="280" t="s">
        <v>83</v>
      </c>
      <c r="C36" s="281"/>
      <c r="D36" s="281"/>
      <c r="E36" s="281"/>
      <c r="F36" s="281"/>
      <c r="G36" s="281"/>
      <c r="H36" s="281"/>
      <c r="I36" s="281"/>
      <c r="J36" s="282"/>
    </row>
    <row r="37" spans="2:12" ht="15.75" customHeight="1" x14ac:dyDescent="0.2">
      <c r="B37" s="280" t="s">
        <v>84</v>
      </c>
      <c r="C37" s="281"/>
      <c r="D37" s="281"/>
      <c r="E37" s="281"/>
      <c r="F37" s="281"/>
      <c r="G37" s="281"/>
      <c r="H37" s="281"/>
      <c r="I37" s="281"/>
      <c r="J37" s="282"/>
    </row>
    <row r="38" spans="2:12" ht="15.75" customHeight="1" x14ac:dyDescent="0.2">
      <c r="B38" s="36" t="s">
        <v>85</v>
      </c>
      <c r="C38" s="16"/>
      <c r="D38" s="16"/>
      <c r="E38" s="16"/>
      <c r="F38" s="16"/>
      <c r="G38" s="16"/>
      <c r="H38" s="16"/>
      <c r="I38" s="16"/>
      <c r="J38" s="23"/>
    </row>
    <row r="39" spans="2:12" ht="15.75" customHeight="1" x14ac:dyDescent="0.2">
      <c r="C39" s="2"/>
      <c r="D39" s="2"/>
      <c r="E39" s="2"/>
      <c r="F39" s="2"/>
      <c r="G39" s="2"/>
      <c r="H39" s="2"/>
      <c r="I39" s="2"/>
      <c r="J39" s="2"/>
    </row>
    <row r="40" spans="2:12" ht="15.75" customHeight="1" x14ac:dyDescent="0.2">
      <c r="B40" s="80" t="s">
        <v>59</v>
      </c>
      <c r="C40" s="81"/>
      <c r="D40" s="81"/>
      <c r="E40" s="81"/>
      <c r="F40" s="81"/>
      <c r="G40" s="81"/>
      <c r="H40" s="81"/>
      <c r="I40" s="271"/>
      <c r="J40" s="271"/>
    </row>
    <row r="41" spans="2:12" ht="15.75" customHeight="1" x14ac:dyDescent="0.2">
      <c r="B41" s="142" t="s">
        <v>60</v>
      </c>
      <c r="C41" s="143"/>
      <c r="D41" s="143"/>
      <c r="E41" s="143"/>
      <c r="F41" s="143"/>
      <c r="G41" s="143"/>
      <c r="H41" s="143"/>
      <c r="I41" s="272"/>
      <c r="J41" s="273"/>
    </row>
    <row r="43" spans="2:12" ht="15.75" customHeight="1" x14ac:dyDescent="0.2">
      <c r="B43" s="265" t="s">
        <v>25</v>
      </c>
      <c r="C43" s="265"/>
      <c r="D43" s="5"/>
      <c r="E43" s="5"/>
      <c r="F43" s="5"/>
      <c r="G43" s="5"/>
      <c r="H43" s="5"/>
      <c r="I43" s="5"/>
      <c r="J43" s="6"/>
      <c r="K43" s="24"/>
      <c r="L43" s="68"/>
    </row>
    <row r="44" spans="2:12" ht="15.75" customHeight="1" x14ac:dyDescent="0.2">
      <c r="B44" s="83"/>
      <c r="C44" s="121" t="s">
        <v>2</v>
      </c>
      <c r="D44" s="56"/>
      <c r="E44" s="52" t="s">
        <v>1</v>
      </c>
      <c r="F44" s="53"/>
      <c r="G44" s="47"/>
      <c r="H44" s="51"/>
      <c r="I44" s="56" t="s">
        <v>0</v>
      </c>
      <c r="J44" s="59"/>
      <c r="K44" s="24"/>
      <c r="L44" s="68"/>
    </row>
    <row r="45" spans="2:12" ht="15.75" customHeight="1" x14ac:dyDescent="0.2">
      <c r="B45" s="9"/>
      <c r="C45" s="57" t="s">
        <v>99</v>
      </c>
      <c r="D45" s="58">
        <f>+D10</f>
        <v>0.4985</v>
      </c>
      <c r="E45" s="54" t="s">
        <v>100</v>
      </c>
      <c r="F45" s="54">
        <f>AVERAGE(J45,D45)</f>
        <v>0.49035000000000001</v>
      </c>
      <c r="G45" s="48"/>
      <c r="H45" s="2"/>
      <c r="I45" s="60" t="s">
        <v>98</v>
      </c>
      <c r="J45" s="61">
        <f>+D11</f>
        <v>0.48220000000000002</v>
      </c>
      <c r="K45" s="24"/>
      <c r="L45" s="68"/>
    </row>
    <row r="46" spans="2:12" ht="15.75" customHeight="1" x14ac:dyDescent="0.2">
      <c r="B46" s="9"/>
      <c r="C46" s="58" t="s">
        <v>8</v>
      </c>
      <c r="D46" s="58">
        <f>($D$8-D10)/2</f>
        <v>-4.5800000000000007E-2</v>
      </c>
      <c r="E46" s="55" t="s">
        <v>61</v>
      </c>
      <c r="F46" s="55">
        <f>+$D$25/2</f>
        <v>4.1725000000000012E-2</v>
      </c>
      <c r="G46" s="49"/>
      <c r="H46" s="2"/>
      <c r="I46" s="62" t="s">
        <v>8</v>
      </c>
      <c r="J46" s="63">
        <f>($D$8-J45)/2</f>
        <v>-3.7650000000000017E-2</v>
      </c>
    </row>
    <row r="47" spans="2:12" ht="15.75" customHeight="1" x14ac:dyDescent="0.2">
      <c r="B47" s="9"/>
      <c r="C47" s="57" t="s">
        <v>9</v>
      </c>
      <c r="D47" s="57">
        <f>D46/0.625</f>
        <v>-7.3280000000000012E-2</v>
      </c>
      <c r="E47" s="54" t="s">
        <v>62</v>
      </c>
      <c r="F47" s="54">
        <f>F46/0.625</f>
        <v>6.6760000000000014E-2</v>
      </c>
      <c r="G47" s="48"/>
      <c r="H47" s="2"/>
      <c r="I47" s="60" t="s">
        <v>9</v>
      </c>
      <c r="J47" s="61">
        <f>J46/0.625</f>
        <v>-6.024000000000003E-2</v>
      </c>
    </row>
    <row r="48" spans="2:12" ht="15.75" customHeight="1" x14ac:dyDescent="0.2">
      <c r="B48" s="15"/>
      <c r="C48" s="144" t="s">
        <v>10</v>
      </c>
      <c r="D48" s="144">
        <f>D47*0.25</f>
        <v>-1.8320000000000003E-2</v>
      </c>
      <c r="E48" s="145" t="s">
        <v>63</v>
      </c>
      <c r="F48" s="85">
        <f>F47*0.25</f>
        <v>1.6690000000000003E-2</v>
      </c>
      <c r="G48" s="146"/>
      <c r="H48" s="16"/>
      <c r="I48" s="147" t="s">
        <v>10</v>
      </c>
      <c r="J48" s="148">
        <f>J47*0.25</f>
        <v>-1.5060000000000007E-2</v>
      </c>
    </row>
    <row r="49" spans="2:12" ht="15.75" customHeight="1" x14ac:dyDescent="0.2">
      <c r="B49" s="27" t="s">
        <v>45</v>
      </c>
      <c r="C49" s="2"/>
      <c r="D49" s="2"/>
      <c r="E49" s="3"/>
      <c r="F49" s="141"/>
      <c r="G49" s="141"/>
      <c r="H49" s="2"/>
      <c r="I49" s="2"/>
      <c r="J49" s="141"/>
    </row>
    <row r="50" spans="2:12" ht="15.75" customHeight="1" x14ac:dyDescent="0.2">
      <c r="C50" s="266"/>
      <c r="D50" s="266"/>
      <c r="E50" s="266"/>
    </row>
    <row r="52" spans="2:12" ht="15.75" customHeight="1" x14ac:dyDescent="0.2">
      <c r="B52" s="87" t="s">
        <v>30</v>
      </c>
      <c r="C52" s="5"/>
      <c r="D52" s="5"/>
      <c r="E52" s="5"/>
      <c r="F52" s="5"/>
      <c r="G52" s="5"/>
      <c r="H52" s="5"/>
      <c r="I52" s="6"/>
      <c r="J52" s="103"/>
      <c r="K52" s="103"/>
      <c r="L52" s="103"/>
    </row>
    <row r="53" spans="2:12" ht="15.75" customHeight="1" x14ac:dyDescent="0.2">
      <c r="C53" s="9"/>
      <c r="D53" s="2"/>
      <c r="E53" s="2"/>
      <c r="F53" s="2"/>
      <c r="G53" s="2"/>
      <c r="H53" s="2"/>
      <c r="I53" s="2"/>
      <c r="J53" s="8"/>
    </row>
    <row r="54" spans="2:12" ht="15.75" customHeight="1" x14ac:dyDescent="0.2">
      <c r="C54" s="9"/>
      <c r="D54" s="2"/>
      <c r="E54" s="2"/>
      <c r="F54" s="2"/>
      <c r="G54" s="2"/>
      <c r="H54" s="2"/>
      <c r="I54" s="2"/>
      <c r="J54" s="8"/>
    </row>
    <row r="55" spans="2:12" ht="15.75" customHeight="1" x14ac:dyDescent="0.2">
      <c r="C55" s="9"/>
      <c r="D55" s="2"/>
      <c r="E55" s="2"/>
      <c r="F55" s="2"/>
      <c r="G55" s="2"/>
      <c r="H55" s="2"/>
      <c r="I55" s="2"/>
      <c r="J55" s="8"/>
    </row>
    <row r="56" spans="2:12" ht="15.75" customHeight="1" x14ac:dyDescent="0.2">
      <c r="C56" s="9"/>
      <c r="D56" s="2"/>
      <c r="E56" s="2"/>
      <c r="F56" s="2"/>
      <c r="G56" s="2"/>
      <c r="H56" s="2"/>
      <c r="I56" s="2"/>
      <c r="J56" s="8"/>
    </row>
    <row r="57" spans="2:12" ht="15.75" customHeight="1" x14ac:dyDescent="0.2">
      <c r="C57" s="9"/>
      <c r="D57" s="2"/>
      <c r="E57" s="2"/>
      <c r="F57" s="2"/>
      <c r="G57" s="2"/>
      <c r="H57" s="2"/>
      <c r="I57" s="2"/>
      <c r="J57" s="8"/>
    </row>
    <row r="58" spans="2:12" ht="15.75" customHeight="1" x14ac:dyDescent="0.2">
      <c r="C58" s="9"/>
      <c r="D58" s="2"/>
      <c r="E58" s="2"/>
      <c r="F58" s="2"/>
      <c r="G58" s="2"/>
      <c r="H58" s="2"/>
      <c r="I58" s="2"/>
      <c r="J58" s="8"/>
    </row>
    <row r="59" spans="2:12" ht="15.75" customHeight="1" x14ac:dyDescent="0.2">
      <c r="C59" s="9"/>
      <c r="D59" s="2"/>
      <c r="E59" s="2"/>
      <c r="F59" s="2"/>
      <c r="G59" s="2"/>
      <c r="H59" s="2"/>
      <c r="I59" s="2"/>
      <c r="J59" s="8"/>
    </row>
    <row r="60" spans="2:12" ht="15.75" customHeight="1" x14ac:dyDescent="0.2">
      <c r="C60" s="9"/>
      <c r="D60" s="2"/>
      <c r="E60" s="2"/>
      <c r="F60" s="2"/>
      <c r="G60" s="2"/>
      <c r="H60" s="2"/>
      <c r="I60" s="2"/>
      <c r="J60" s="8"/>
    </row>
    <row r="61" spans="2:12" ht="15.75" customHeight="1" x14ac:dyDescent="0.2">
      <c r="C61" s="9"/>
      <c r="D61" s="2"/>
      <c r="E61" s="2"/>
      <c r="F61" s="2"/>
      <c r="G61" s="2"/>
      <c r="H61" s="2"/>
      <c r="I61" s="2"/>
      <c r="J61" s="8"/>
    </row>
    <row r="62" spans="2:12" ht="15.75" customHeight="1" x14ac:dyDescent="0.2">
      <c r="C62" s="9"/>
      <c r="D62" s="2"/>
      <c r="E62" s="2"/>
      <c r="F62" s="2"/>
      <c r="G62" s="2"/>
      <c r="H62" s="2"/>
      <c r="I62" s="2"/>
      <c r="J62" s="8"/>
    </row>
    <row r="63" spans="2:12" ht="15.75" customHeight="1" x14ac:dyDescent="0.2">
      <c r="C63" s="9"/>
      <c r="D63" s="2"/>
      <c r="E63" s="2"/>
      <c r="F63" s="2"/>
      <c r="G63" s="2"/>
      <c r="H63" s="2"/>
      <c r="I63" s="2"/>
      <c r="J63" s="8"/>
    </row>
    <row r="64" spans="2:12" ht="15.75" customHeight="1" x14ac:dyDescent="0.2">
      <c r="C64" s="9"/>
      <c r="D64" s="2"/>
      <c r="E64" s="2"/>
      <c r="F64" s="2"/>
      <c r="G64" s="2"/>
      <c r="H64" s="2"/>
      <c r="I64" s="2"/>
      <c r="J64" s="8"/>
    </row>
    <row r="65" spans="2:12" ht="15.75" customHeight="1" x14ac:dyDescent="0.2">
      <c r="C65" s="9"/>
      <c r="D65" s="2"/>
      <c r="E65" s="2"/>
      <c r="F65" s="2"/>
      <c r="G65" s="2"/>
      <c r="H65" s="2"/>
      <c r="I65" s="2"/>
      <c r="J65" s="8"/>
    </row>
    <row r="66" spans="2:12" ht="15.75" customHeight="1" x14ac:dyDescent="0.2">
      <c r="C66" s="9"/>
      <c r="D66" s="2"/>
      <c r="E66" s="2"/>
      <c r="F66" s="2"/>
      <c r="G66" s="2"/>
      <c r="H66" s="2"/>
      <c r="I66" s="2"/>
      <c r="J66" s="8"/>
    </row>
    <row r="67" spans="2:12" ht="15.75" customHeight="1" x14ac:dyDescent="0.2">
      <c r="C67" s="9"/>
      <c r="D67" s="2"/>
      <c r="E67" s="2"/>
      <c r="F67" s="2"/>
      <c r="G67" s="2"/>
      <c r="H67" s="2"/>
      <c r="I67" s="2"/>
      <c r="J67" s="8"/>
    </row>
    <row r="68" spans="2:12" ht="15.75" customHeight="1" x14ac:dyDescent="0.2">
      <c r="C68" s="9"/>
      <c r="D68" s="2"/>
      <c r="E68" s="2"/>
      <c r="F68" s="2"/>
      <c r="G68" s="2"/>
      <c r="H68" s="2"/>
      <c r="I68" s="2"/>
      <c r="J68" s="8"/>
    </row>
    <row r="69" spans="2:12" ht="15.75" customHeight="1" x14ac:dyDescent="0.2">
      <c r="C69" s="9"/>
      <c r="D69" s="2"/>
      <c r="E69" s="2"/>
      <c r="F69" s="2"/>
      <c r="G69" s="2"/>
      <c r="H69" s="2"/>
      <c r="I69" s="2"/>
      <c r="J69" s="8"/>
    </row>
    <row r="70" spans="2:12" ht="15.75" customHeight="1" x14ac:dyDescent="0.2">
      <c r="C70" s="9"/>
      <c r="D70" s="2"/>
      <c r="E70" s="2"/>
      <c r="F70" s="2"/>
      <c r="G70" s="2"/>
      <c r="H70" s="2"/>
      <c r="I70" s="2"/>
      <c r="J70" s="8"/>
    </row>
    <row r="72" spans="2:12" ht="15.75" customHeight="1" x14ac:dyDescent="0.2">
      <c r="B72" s="157" t="s">
        <v>97</v>
      </c>
      <c r="C72" s="161"/>
      <c r="D72" s="161"/>
      <c r="E72" s="161"/>
      <c r="F72" s="161"/>
      <c r="G72" s="161"/>
      <c r="H72" s="161"/>
      <c r="I72" s="161"/>
      <c r="J72" s="161"/>
      <c r="K72" s="161"/>
      <c r="L72" s="161"/>
    </row>
    <row r="73" spans="2:12" ht="15.75" customHeight="1" x14ac:dyDescent="0.2">
      <c r="C73" s="105"/>
      <c r="D73" s="105"/>
    </row>
    <row r="74" spans="2:12" ht="15.75" customHeight="1" x14ac:dyDescent="0.2">
      <c r="C74" s="105"/>
      <c r="D74" s="105"/>
    </row>
    <row r="75" spans="2:12" ht="15.75" customHeight="1" x14ac:dyDescent="0.2">
      <c r="C75" s="105"/>
      <c r="D75" s="105"/>
    </row>
    <row r="76" spans="2:12" ht="15.75" customHeight="1" x14ac:dyDescent="0.2">
      <c r="C76" s="105"/>
      <c r="D76" s="105"/>
    </row>
  </sheetData>
  <mergeCells count="15">
    <mergeCell ref="G20:J20"/>
    <mergeCell ref="I40:J40"/>
    <mergeCell ref="I41:J41"/>
    <mergeCell ref="B43:C43"/>
    <mergeCell ref="B34:J34"/>
    <mergeCell ref="B35:J35"/>
    <mergeCell ref="B36:J36"/>
    <mergeCell ref="B37:J37"/>
    <mergeCell ref="E19:E20"/>
    <mergeCell ref="B5:E5"/>
    <mergeCell ref="B6:B13"/>
    <mergeCell ref="B23:B31"/>
    <mergeCell ref="B16:B20"/>
    <mergeCell ref="C50:E50"/>
    <mergeCell ref="E10:E11"/>
  </mergeCells>
  <conditionalFormatting sqref="G20">
    <cfRule type="containsText" dxfId="11" priority="1" operator="containsText" text="Good">
      <formula>NOT(ISERROR(SEARCH("Good",G20)))</formula>
    </cfRule>
    <cfRule type="containsText" dxfId="10" priority="2" operator="containsText" text="Wrong Tool">
      <formula>NOT(ISERROR(SEARCH("Wrong Tool",G20)))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workbookViewId="0">
      <selection activeCell="C19" sqref="C19"/>
    </sheetView>
  </sheetViews>
  <sheetFormatPr defaultRowHeight="15" x14ac:dyDescent="0.25"/>
  <cols>
    <col min="1" max="1" width="9.140625" style="205"/>
    <col min="2" max="2" width="31.140625" style="205" bestFit="1" customWidth="1"/>
    <col min="3" max="3" width="34" style="205" bestFit="1" customWidth="1"/>
    <col min="4" max="4" width="10.5703125" style="205" bestFit="1" customWidth="1"/>
    <col min="5" max="6" width="9.140625" style="205"/>
    <col min="7" max="7" width="20.42578125" style="205" bestFit="1" customWidth="1"/>
    <col min="8" max="16384" width="9.140625" style="205"/>
  </cols>
  <sheetData>
    <row r="2" spans="2:8" x14ac:dyDescent="0.25">
      <c r="B2" s="234" t="s">
        <v>175</v>
      </c>
      <c r="C2" s="233"/>
      <c r="D2" s="233"/>
      <c r="E2" s="213"/>
      <c r="G2" s="232" t="s">
        <v>174</v>
      </c>
      <c r="H2" s="232"/>
    </row>
    <row r="3" spans="2:8" x14ac:dyDescent="0.25">
      <c r="B3" s="231" t="s">
        <v>173</v>
      </c>
      <c r="C3" s="230" t="s">
        <v>172</v>
      </c>
      <c r="D3" s="230" t="s">
        <v>171</v>
      </c>
      <c r="E3" s="208"/>
      <c r="G3" s="229" t="s">
        <v>91</v>
      </c>
      <c r="H3" s="228">
        <f>(2*D4)-(2*C14)</f>
        <v>5.5795898384862243E-2</v>
      </c>
    </row>
    <row r="4" spans="2:8" x14ac:dyDescent="0.25">
      <c r="B4" s="227" t="s">
        <v>28</v>
      </c>
      <c r="C4" s="226" t="s">
        <v>27</v>
      </c>
      <c r="D4" s="225">
        <v>2.963E-2</v>
      </c>
      <c r="E4" s="208"/>
      <c r="G4" s="207" t="s">
        <v>170</v>
      </c>
      <c r="H4" s="206">
        <f>1/D5</f>
        <v>3.7037037037037035E-2</v>
      </c>
    </row>
    <row r="5" spans="2:8" x14ac:dyDescent="0.25">
      <c r="B5" s="227"/>
      <c r="C5" s="226" t="s">
        <v>13</v>
      </c>
      <c r="D5" s="225">
        <v>27</v>
      </c>
      <c r="E5" s="208"/>
    </row>
    <row r="6" spans="2:8" ht="18" x14ac:dyDescent="0.35">
      <c r="B6" s="227" t="s">
        <v>169</v>
      </c>
      <c r="C6" s="226" t="s">
        <v>29</v>
      </c>
      <c r="D6" s="225">
        <v>0.33389999999999997</v>
      </c>
      <c r="E6" s="208"/>
    </row>
    <row r="7" spans="2:8" ht="18" x14ac:dyDescent="0.35">
      <c r="B7" s="224" t="s">
        <v>168</v>
      </c>
      <c r="C7" s="223" t="s">
        <v>14</v>
      </c>
      <c r="D7" s="222">
        <v>0.39240000000000003</v>
      </c>
      <c r="E7" s="206"/>
    </row>
    <row r="9" spans="2:8" x14ac:dyDescent="0.25">
      <c r="B9" s="214" t="s">
        <v>146</v>
      </c>
      <c r="C9" s="221"/>
      <c r="D9" s="283" t="s">
        <v>167</v>
      </c>
      <c r="E9" s="284"/>
    </row>
    <row r="10" spans="2:8" x14ac:dyDescent="0.25">
      <c r="B10" s="212" t="s">
        <v>18</v>
      </c>
      <c r="C10" s="220" t="s">
        <v>20</v>
      </c>
      <c r="D10" s="285" t="str">
        <f>IF((C12-C15)&lt;H3,"Need a bigger tool!",IF(C12&gt;C19,"Tool doesn't fit!","Good"))</f>
        <v>Good</v>
      </c>
      <c r="E10" s="286"/>
      <c r="H10" s="239"/>
    </row>
    <row r="11" spans="2:8" x14ac:dyDescent="0.25">
      <c r="B11" s="212" t="s">
        <v>19</v>
      </c>
      <c r="C11" s="220"/>
      <c r="D11" s="287"/>
      <c r="E11" s="288"/>
    </row>
    <row r="12" spans="2:8" x14ac:dyDescent="0.25">
      <c r="B12" s="212" t="s">
        <v>44</v>
      </c>
      <c r="C12" s="219">
        <v>0.24</v>
      </c>
      <c r="D12" s="289"/>
      <c r="E12" s="290"/>
    </row>
    <row r="13" spans="2:8" x14ac:dyDescent="0.25">
      <c r="B13" s="212" t="s">
        <v>166</v>
      </c>
      <c r="C13" s="219">
        <v>2E-3</v>
      </c>
    </row>
    <row r="14" spans="2:8" x14ac:dyDescent="0.25">
      <c r="B14" s="212" t="s">
        <v>74</v>
      </c>
      <c r="C14" s="218">
        <f>C13*(SQRT(3)/2)</f>
        <v>1.7320508075688772E-3</v>
      </c>
    </row>
    <row r="15" spans="2:8" x14ac:dyDescent="0.25">
      <c r="B15" s="217" t="s">
        <v>79</v>
      </c>
      <c r="C15" s="216">
        <v>0.16</v>
      </c>
      <c r="D15" s="215" t="s">
        <v>165</v>
      </c>
    </row>
    <row r="17" spans="2:5" x14ac:dyDescent="0.25">
      <c r="B17" s="214" t="s">
        <v>181</v>
      </c>
      <c r="C17" s="213"/>
      <c r="E17" s="205" t="s">
        <v>164</v>
      </c>
    </row>
    <row r="18" spans="2:5" x14ac:dyDescent="0.25">
      <c r="B18" s="212" t="s">
        <v>163</v>
      </c>
      <c r="C18" s="245">
        <f>((2*(TAN(0.03112498015)*D7))+C19)</f>
        <v>0.35833477544480768</v>
      </c>
      <c r="E18" s="210" t="s">
        <v>162</v>
      </c>
    </row>
    <row r="19" spans="2:5" x14ac:dyDescent="0.25">
      <c r="B19" s="212" t="s">
        <v>161</v>
      </c>
      <c r="C19" s="211">
        <f>D6</f>
        <v>0.33389999999999997</v>
      </c>
      <c r="E19" s="205" t="s">
        <v>160</v>
      </c>
    </row>
    <row r="20" spans="2:5" x14ac:dyDescent="0.25">
      <c r="B20" s="246" t="s">
        <v>188</v>
      </c>
      <c r="C20" s="211">
        <f>1+(47/60)</f>
        <v>1.7833333333333332</v>
      </c>
    </row>
    <row r="21" spans="2:5" x14ac:dyDescent="0.25">
      <c r="B21" s="209"/>
      <c r="C21" s="208"/>
      <c r="E21" s="210" t="s">
        <v>159</v>
      </c>
    </row>
    <row r="22" spans="2:5" x14ac:dyDescent="0.25">
      <c r="B22" s="209"/>
      <c r="C22" s="208"/>
      <c r="E22" s="205" t="s">
        <v>158</v>
      </c>
    </row>
    <row r="23" spans="2:5" x14ac:dyDescent="0.25">
      <c r="B23" s="209"/>
      <c r="C23" s="208"/>
    </row>
    <row r="24" spans="2:5" x14ac:dyDescent="0.25">
      <c r="B24" s="209"/>
      <c r="C24" s="208"/>
    </row>
    <row r="25" spans="2:5" x14ac:dyDescent="0.25">
      <c r="B25" s="209"/>
      <c r="C25" s="208"/>
    </row>
    <row r="26" spans="2:5" x14ac:dyDescent="0.25">
      <c r="B26" s="209"/>
      <c r="C26" s="208"/>
    </row>
    <row r="27" spans="2:5" x14ac:dyDescent="0.25">
      <c r="B27" s="209"/>
      <c r="C27" s="208"/>
    </row>
    <row r="28" spans="2:5" x14ac:dyDescent="0.25">
      <c r="B28" s="209"/>
      <c r="C28" s="208"/>
    </row>
    <row r="29" spans="2:5" x14ac:dyDescent="0.25">
      <c r="B29" s="209"/>
      <c r="C29" s="208"/>
    </row>
    <row r="30" spans="2:5" x14ac:dyDescent="0.25">
      <c r="B30" s="209"/>
      <c r="C30" s="208"/>
    </row>
    <row r="31" spans="2:5" x14ac:dyDescent="0.25">
      <c r="B31" s="209"/>
      <c r="C31" s="208"/>
    </row>
    <row r="32" spans="2:5" x14ac:dyDescent="0.25">
      <c r="B32" s="209"/>
      <c r="C32" s="208"/>
    </row>
    <row r="33" spans="2:3" x14ac:dyDescent="0.25">
      <c r="B33" s="209"/>
      <c r="C33" s="208"/>
    </row>
    <row r="34" spans="2:3" x14ac:dyDescent="0.25">
      <c r="B34" s="209"/>
      <c r="C34" s="208"/>
    </row>
    <row r="35" spans="2:3" x14ac:dyDescent="0.25">
      <c r="B35" s="207"/>
      <c r="C35" s="206"/>
    </row>
    <row r="36" spans="2:3" x14ac:dyDescent="0.25">
      <c r="B36" s="215" t="s">
        <v>176</v>
      </c>
    </row>
    <row r="37" spans="2:3" x14ac:dyDescent="0.25">
      <c r="B37" s="238"/>
    </row>
    <row r="38" spans="2:3" x14ac:dyDescent="0.25">
      <c r="B38" s="239"/>
    </row>
    <row r="39" spans="2:3" x14ac:dyDescent="0.25">
      <c r="B39" s="239"/>
    </row>
    <row r="40" spans="2:3" x14ac:dyDescent="0.25">
      <c r="B40" s="239"/>
      <c r="C40" s="238"/>
    </row>
    <row r="41" spans="2:3" x14ac:dyDescent="0.25">
      <c r="B41" s="239"/>
    </row>
  </sheetData>
  <mergeCells count="2">
    <mergeCell ref="D9:E9"/>
    <mergeCell ref="D10:E12"/>
  </mergeCells>
  <conditionalFormatting sqref="D10:E12">
    <cfRule type="containsText" dxfId="9" priority="1" operator="containsText" text="Need a bigger tool!">
      <formula>NOT(ISERROR(SEARCH("Need a bigger tool!",D10)))</formula>
    </cfRule>
    <cfRule type="containsText" dxfId="8" priority="3" operator="containsText" text="Tool doesn't fit!">
      <formula>NOT(ISERROR(SEARCH("Tool doesn't fit!",D10)))</formula>
    </cfRule>
    <cfRule type="containsText" dxfId="7" priority="4" operator="containsText" text="Good">
      <formula>NOT(ISERROR(SEARCH("Good",D10)))</formula>
    </cfRule>
  </conditionalFormatting>
  <conditionalFormatting sqref="F20">
    <cfRule type="containsText" dxfId="6" priority="2" operator="containsText" text="Need a bigger tool!">
      <formula>NOT(ISERROR(SEARCH("Need a bigger tool!",F20)))</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2"/>
  <sheetViews>
    <sheetView workbookViewId="0">
      <selection activeCell="I28" sqref="I28"/>
    </sheetView>
  </sheetViews>
  <sheetFormatPr defaultRowHeight="15" x14ac:dyDescent="0.25"/>
  <cols>
    <col min="1" max="1" width="9.140625" style="205"/>
    <col min="2" max="2" width="31.140625" style="205" bestFit="1" customWidth="1"/>
    <col min="3" max="3" width="34" style="205" bestFit="1" customWidth="1"/>
    <col min="4" max="4" width="10.5703125" style="205" bestFit="1" customWidth="1"/>
    <col min="5" max="6" width="9.140625" style="205"/>
    <col min="7" max="7" width="20.42578125" style="205" bestFit="1" customWidth="1"/>
    <col min="8" max="16384" width="9.140625" style="205"/>
  </cols>
  <sheetData>
    <row r="2" spans="2:8" x14ac:dyDescent="0.25">
      <c r="B2" s="234" t="s">
        <v>175</v>
      </c>
      <c r="C2" s="233"/>
      <c r="D2" s="233"/>
      <c r="E2" s="213"/>
      <c r="G2" s="232" t="s">
        <v>174</v>
      </c>
      <c r="H2" s="232"/>
    </row>
    <row r="3" spans="2:8" x14ac:dyDescent="0.25">
      <c r="B3" s="231" t="s">
        <v>173</v>
      </c>
      <c r="C3" s="230" t="s">
        <v>172</v>
      </c>
      <c r="D3" s="230" t="s">
        <v>171</v>
      </c>
      <c r="E3" s="208"/>
      <c r="G3" s="229" t="s">
        <v>91</v>
      </c>
      <c r="H3" s="228">
        <f>(2*D4)-(2*C15)-(D4*0.125)</f>
        <v>5.2092148384862244E-2</v>
      </c>
    </row>
    <row r="4" spans="2:8" x14ac:dyDescent="0.25">
      <c r="B4" s="227" t="s">
        <v>28</v>
      </c>
      <c r="C4" s="226" t="s">
        <v>27</v>
      </c>
      <c r="D4" s="225">
        <v>2.963E-2</v>
      </c>
      <c r="E4" s="208"/>
      <c r="G4" s="207" t="s">
        <v>170</v>
      </c>
      <c r="H4" s="206">
        <f>1/D5</f>
        <v>3.7037037037037035E-2</v>
      </c>
    </row>
    <row r="5" spans="2:8" x14ac:dyDescent="0.25">
      <c r="B5" s="227"/>
      <c r="C5" s="226" t="s">
        <v>13</v>
      </c>
      <c r="D5" s="225">
        <v>27</v>
      </c>
      <c r="E5" s="208"/>
    </row>
    <row r="6" spans="2:8" ht="18" x14ac:dyDescent="0.35">
      <c r="B6" s="240" t="s">
        <v>182</v>
      </c>
      <c r="C6" s="241" t="s">
        <v>183</v>
      </c>
      <c r="D6" s="225">
        <v>0.36351</v>
      </c>
      <c r="E6" s="208"/>
    </row>
    <row r="7" spans="2:8" ht="18" x14ac:dyDescent="0.35">
      <c r="B7" s="227" t="s">
        <v>168</v>
      </c>
      <c r="C7" s="226" t="s">
        <v>14</v>
      </c>
      <c r="D7" s="225">
        <v>0.39240000000000003</v>
      </c>
      <c r="E7" s="208"/>
    </row>
    <row r="8" spans="2:8" x14ac:dyDescent="0.25">
      <c r="B8" s="243" t="s">
        <v>186</v>
      </c>
      <c r="C8" s="244" t="s">
        <v>187</v>
      </c>
      <c r="D8" s="222">
        <v>0.40500000000000003</v>
      </c>
      <c r="E8" s="206"/>
    </row>
    <row r="10" spans="2:8" x14ac:dyDescent="0.25">
      <c r="B10" s="214" t="s">
        <v>146</v>
      </c>
      <c r="C10" s="221"/>
      <c r="D10" s="283" t="s">
        <v>167</v>
      </c>
      <c r="E10" s="284"/>
    </row>
    <row r="11" spans="2:8" x14ac:dyDescent="0.25">
      <c r="B11" s="212" t="s">
        <v>18</v>
      </c>
      <c r="C11" s="220" t="s">
        <v>20</v>
      </c>
      <c r="D11" s="285" t="str">
        <f>IF((C13-C16)&lt;H3,"Need a bigger tool!",IF(C13&gt;C20,"Tool doesn't fit!","Good"))</f>
        <v>Good</v>
      </c>
      <c r="E11" s="286"/>
      <c r="H11" s="239"/>
    </row>
    <row r="12" spans="2:8" x14ac:dyDescent="0.25">
      <c r="B12" s="212" t="s">
        <v>19</v>
      </c>
      <c r="C12" s="220"/>
      <c r="D12" s="287"/>
      <c r="E12" s="288"/>
    </row>
    <row r="13" spans="2:8" x14ac:dyDescent="0.25">
      <c r="B13" s="212" t="s">
        <v>44</v>
      </c>
      <c r="C13" s="219">
        <v>0.24</v>
      </c>
      <c r="D13" s="289"/>
      <c r="E13" s="290"/>
    </row>
    <row r="14" spans="2:8" x14ac:dyDescent="0.25">
      <c r="B14" s="212" t="s">
        <v>166</v>
      </c>
      <c r="C14" s="219">
        <v>2E-3</v>
      </c>
    </row>
    <row r="15" spans="2:8" x14ac:dyDescent="0.25">
      <c r="B15" s="212" t="s">
        <v>74</v>
      </c>
      <c r="C15" s="218">
        <f>C14*(SQRT(3)/2)</f>
        <v>1.7320508075688772E-3</v>
      </c>
    </row>
    <row r="16" spans="2:8" x14ac:dyDescent="0.25">
      <c r="B16" s="217" t="s">
        <v>79</v>
      </c>
      <c r="C16" s="216">
        <v>0.16</v>
      </c>
      <c r="D16" s="215" t="s">
        <v>165</v>
      </c>
    </row>
    <row r="18" spans="2:5" x14ac:dyDescent="0.25">
      <c r="B18" s="214" t="s">
        <v>181</v>
      </c>
      <c r="C18" s="213"/>
      <c r="E18" s="205" t="s">
        <v>164</v>
      </c>
    </row>
    <row r="19" spans="2:5" x14ac:dyDescent="0.25">
      <c r="B19" s="242" t="s">
        <v>184</v>
      </c>
      <c r="C19" s="245">
        <f>(C20-(2*(TAN(0.03112498015)*D7)))</f>
        <v>0.38056522455519232</v>
      </c>
      <c r="E19" s="210" t="s">
        <v>159</v>
      </c>
    </row>
    <row r="20" spans="2:5" x14ac:dyDescent="0.25">
      <c r="B20" s="242" t="s">
        <v>185</v>
      </c>
      <c r="C20" s="245">
        <f>D8</f>
        <v>0.40500000000000003</v>
      </c>
      <c r="E20" s="205" t="s">
        <v>158</v>
      </c>
    </row>
    <row r="21" spans="2:5" x14ac:dyDescent="0.25">
      <c r="B21" s="246" t="s">
        <v>188</v>
      </c>
      <c r="C21" s="211">
        <f>1+(47/60)</f>
        <v>1.7833333333333332</v>
      </c>
    </row>
    <row r="22" spans="2:5" x14ac:dyDescent="0.25">
      <c r="B22" s="209"/>
      <c r="C22" s="208"/>
    </row>
    <row r="23" spans="2:5" x14ac:dyDescent="0.25">
      <c r="B23" s="209"/>
      <c r="C23" s="208"/>
    </row>
    <row r="24" spans="2:5" x14ac:dyDescent="0.25">
      <c r="B24" s="209"/>
      <c r="C24" s="208"/>
    </row>
    <row r="25" spans="2:5" x14ac:dyDescent="0.25">
      <c r="B25" s="209"/>
      <c r="C25" s="208"/>
    </row>
    <row r="26" spans="2:5" x14ac:dyDescent="0.25">
      <c r="B26" s="209"/>
      <c r="C26" s="208"/>
    </row>
    <row r="27" spans="2:5" x14ac:dyDescent="0.25">
      <c r="B27" s="209"/>
      <c r="C27" s="208"/>
    </row>
    <row r="28" spans="2:5" x14ac:dyDescent="0.25">
      <c r="B28" s="209"/>
      <c r="C28" s="208"/>
    </row>
    <row r="29" spans="2:5" x14ac:dyDescent="0.25">
      <c r="B29" s="209"/>
      <c r="C29" s="208"/>
    </row>
    <row r="30" spans="2:5" x14ac:dyDescent="0.25">
      <c r="B30" s="209"/>
      <c r="C30" s="208"/>
    </row>
    <row r="31" spans="2:5" x14ac:dyDescent="0.25">
      <c r="B31" s="209"/>
      <c r="C31" s="208"/>
    </row>
    <row r="32" spans="2:5" x14ac:dyDescent="0.25">
      <c r="B32" s="209"/>
      <c r="C32" s="208"/>
    </row>
    <row r="33" spans="2:3" x14ac:dyDescent="0.25">
      <c r="B33" s="209"/>
      <c r="C33" s="208"/>
    </row>
    <row r="34" spans="2:3" x14ac:dyDescent="0.25">
      <c r="B34" s="209"/>
      <c r="C34" s="208"/>
    </row>
    <row r="35" spans="2:3" x14ac:dyDescent="0.25">
      <c r="B35" s="209"/>
      <c r="C35" s="208"/>
    </row>
    <row r="36" spans="2:3" x14ac:dyDescent="0.25">
      <c r="B36" s="207"/>
      <c r="C36" s="206"/>
    </row>
    <row r="37" spans="2:3" x14ac:dyDescent="0.25">
      <c r="B37" s="215" t="s">
        <v>176</v>
      </c>
    </row>
    <row r="38" spans="2:3" x14ac:dyDescent="0.25">
      <c r="B38" s="238"/>
    </row>
    <row r="39" spans="2:3" x14ac:dyDescent="0.25">
      <c r="B39" s="239"/>
    </row>
    <row r="40" spans="2:3" x14ac:dyDescent="0.25">
      <c r="B40" s="239"/>
    </row>
    <row r="41" spans="2:3" x14ac:dyDescent="0.25">
      <c r="B41" s="239"/>
      <c r="C41" s="238"/>
    </row>
    <row r="42" spans="2:3" x14ac:dyDescent="0.25">
      <c r="B42" s="239"/>
    </row>
  </sheetData>
  <mergeCells count="2">
    <mergeCell ref="D10:E10"/>
    <mergeCell ref="D11:E13"/>
  </mergeCells>
  <conditionalFormatting sqref="D11:E13">
    <cfRule type="containsText" dxfId="5" priority="1" operator="containsText" text="Need a bigger tool!">
      <formula>NOT(ISERROR(SEARCH("Need a bigger tool!",D11)))</formula>
    </cfRule>
    <cfRule type="containsText" dxfId="4" priority="3" operator="containsText" text="Tool doesn't fit!">
      <formula>NOT(ISERROR(SEARCH("Tool doesn't fit!",D11)))</formula>
    </cfRule>
    <cfRule type="containsText" dxfId="3" priority="4" operator="containsText" text="Good">
      <formula>NOT(ISERROR(SEARCH("Good",D11)))</formula>
    </cfRule>
  </conditionalFormatting>
  <conditionalFormatting sqref="F21">
    <cfRule type="containsText" dxfId="2" priority="2" operator="containsText" text="Need a bigger tool!">
      <formula>NOT(ISERROR(SEARCH("Need a bigger tool!",F21)))</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22"/>
  <sheetViews>
    <sheetView zoomScaleNormal="100" workbookViewId="0">
      <selection activeCell="B8" sqref="B8"/>
    </sheetView>
  </sheetViews>
  <sheetFormatPr defaultRowHeight="12.75" x14ac:dyDescent="0.2"/>
  <cols>
    <col min="2" max="2" width="33" bestFit="1" customWidth="1"/>
    <col min="3" max="3" width="16.42578125" bestFit="1" customWidth="1"/>
    <col min="4" max="4" width="14.28515625" bestFit="1" customWidth="1"/>
  </cols>
  <sheetData>
    <row r="2" spans="2:5" x14ac:dyDescent="0.2">
      <c r="B2" s="291" t="s">
        <v>64</v>
      </c>
      <c r="C2" s="291"/>
      <c r="D2" s="291"/>
      <c r="E2" s="24"/>
    </row>
    <row r="3" spans="2:5" x14ac:dyDescent="0.2">
      <c r="B3" s="67" t="s">
        <v>66</v>
      </c>
      <c r="C3" s="94" t="s">
        <v>65</v>
      </c>
      <c r="D3" s="95" t="s">
        <v>73</v>
      </c>
    </row>
    <row r="4" spans="2:5" x14ac:dyDescent="0.2">
      <c r="B4" s="12" t="s">
        <v>67</v>
      </c>
      <c r="C4" s="14">
        <v>0.16</v>
      </c>
      <c r="D4" s="86">
        <v>5.0000000000000001E-4</v>
      </c>
    </row>
    <row r="5" spans="2:5" x14ac:dyDescent="0.2">
      <c r="B5" s="12" t="s">
        <v>68</v>
      </c>
      <c r="C5" s="14">
        <v>0.188</v>
      </c>
      <c r="D5" s="86">
        <v>3.0000000000000001E-3</v>
      </c>
    </row>
    <row r="6" spans="2:5" x14ac:dyDescent="0.2">
      <c r="B6" s="12" t="s">
        <v>69</v>
      </c>
      <c r="C6" s="14">
        <v>0.35</v>
      </c>
      <c r="D6" s="86">
        <v>3.0000000000000001E-3</v>
      </c>
    </row>
    <row r="7" spans="2:5" x14ac:dyDescent="0.2">
      <c r="B7" s="12" t="s">
        <v>70</v>
      </c>
      <c r="C7" s="14">
        <v>0.38800000000000001</v>
      </c>
      <c r="D7" s="86">
        <v>3.5000000000000001E-3</v>
      </c>
    </row>
    <row r="8" spans="2:5" x14ac:dyDescent="0.2">
      <c r="B8" s="12" t="s">
        <v>72</v>
      </c>
      <c r="C8" s="14">
        <v>0.49</v>
      </c>
      <c r="D8" s="86">
        <v>5.0000000000000001E-3</v>
      </c>
    </row>
    <row r="9" spans="2:5" x14ac:dyDescent="0.2">
      <c r="B9" s="36" t="s">
        <v>71</v>
      </c>
      <c r="C9" s="96">
        <v>0.495</v>
      </c>
      <c r="D9" s="97">
        <v>4.4999999999999997E-3</v>
      </c>
    </row>
    <row r="10" spans="2:5" x14ac:dyDescent="0.2">
      <c r="B10" s="9"/>
      <c r="C10" s="2"/>
      <c r="D10" s="8"/>
    </row>
    <row r="11" spans="2:5" ht="244.5" customHeight="1" x14ac:dyDescent="0.2">
      <c r="B11" s="9"/>
      <c r="C11" s="2"/>
      <c r="D11" s="8"/>
    </row>
    <row r="12" spans="2:5" ht="27" customHeight="1" x14ac:dyDescent="0.2">
      <c r="B12" s="294" t="s">
        <v>107</v>
      </c>
      <c r="C12" s="295"/>
      <c r="D12" s="296"/>
    </row>
    <row r="13" spans="2:5" ht="54.75" customHeight="1" x14ac:dyDescent="0.2">
      <c r="B13" s="297" t="s">
        <v>95</v>
      </c>
      <c r="C13" s="297"/>
      <c r="D13" s="297"/>
    </row>
    <row r="14" spans="2:5" ht="42.75" customHeight="1" x14ac:dyDescent="0.2">
      <c r="B14" s="292" t="s">
        <v>96</v>
      </c>
      <c r="C14" s="293"/>
      <c r="D14" s="293"/>
    </row>
    <row r="16" spans="2:5" x14ac:dyDescent="0.2">
      <c r="B16" s="98"/>
    </row>
    <row r="17" spans="2:15" x14ac:dyDescent="0.2">
      <c r="B17" s="98"/>
    </row>
    <row r="18" spans="2:15" x14ac:dyDescent="0.2">
      <c r="B18" t="s">
        <v>65</v>
      </c>
      <c r="C18" s="99">
        <v>0.25</v>
      </c>
      <c r="E18" s="298" t="s">
        <v>90</v>
      </c>
      <c r="F18" s="298"/>
      <c r="G18" s="298"/>
      <c r="H18" s="298"/>
      <c r="I18" s="298"/>
      <c r="J18" s="298"/>
      <c r="K18" s="298"/>
      <c r="L18" s="298"/>
      <c r="M18" s="298"/>
      <c r="N18" s="298"/>
      <c r="O18" s="298"/>
    </row>
    <row r="19" spans="2:15" x14ac:dyDescent="0.2">
      <c r="B19" t="s">
        <v>89</v>
      </c>
      <c r="C19" s="88">
        <f>+C18/100</f>
        <v>2.5000000000000001E-3</v>
      </c>
      <c r="E19" s="66" t="s">
        <v>78</v>
      </c>
    </row>
    <row r="22" spans="2:15" x14ac:dyDescent="0.2">
      <c r="B22" s="1"/>
    </row>
  </sheetData>
  <mergeCells count="5">
    <mergeCell ref="B2:D2"/>
    <mergeCell ref="B14:D14"/>
    <mergeCell ref="B12:D12"/>
    <mergeCell ref="B13:D13"/>
    <mergeCell ref="E18:O18"/>
  </mergeCells>
  <hyperlinks>
    <hyperlink ref="E19" r:id="rId1" xr:uid="{00000000-0004-0000-07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Common Size Calculations</vt:lpstr>
      <vt:lpstr>Internal - Simple</vt:lpstr>
      <vt:lpstr>INTERNAL - Detail</vt:lpstr>
      <vt:lpstr>External - Simple</vt:lpstr>
      <vt:lpstr>Chipload</vt:lpstr>
      <vt:lpstr>External - Detail</vt:lpstr>
      <vt:lpstr>NPT Internal</vt:lpstr>
      <vt:lpstr>NPT External</vt:lpstr>
      <vt:lpstr>Threadmill Crest</vt:lpstr>
      <vt:lpstr>Thread Profile Graphic</vt:lpstr>
      <vt:lpstr>Large or Custom Diameter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dcterms:created xsi:type="dcterms:W3CDTF">2017-12-18T18:57:39Z</dcterms:created>
  <dcterms:modified xsi:type="dcterms:W3CDTF">2022-06-15T16:55:52Z</dcterms:modified>
</cp:coreProperties>
</file>