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darre\Desktop\Admin\Player Rankings\"/>
    </mc:Choice>
  </mc:AlternateContent>
  <bookViews>
    <workbookView xWindow="0" yWindow="0" windowWidth="23040" windowHeight="9780" tabRatio="644" xr2:uid="{00000000-000D-0000-FFFF-FFFF00000000}"/>
  </bookViews>
  <sheets>
    <sheet name="INSTRUCTIONS" sheetId="15" r:id="rId1"/>
    <sheet name="Tournament Details" sheetId="2" r:id="rId2"/>
    <sheet name="Round 1" sheetId="1" r:id="rId3"/>
    <sheet name="Round 2" sheetId="5" r:id="rId4"/>
    <sheet name="Round 3" sheetId="6" r:id="rId5"/>
    <sheet name="Round 4" sheetId="9" r:id="rId6"/>
    <sheet name="Round 5" sheetId="10" r:id="rId7"/>
    <sheet name="Sporting Votes" sheetId="16" r:id="rId8"/>
    <sheet name="Final Results" sheetId="11" r:id="rId9"/>
    <sheet name="Drop Downs" sheetId="3" state="hidden" r:id="rId10"/>
  </sheets>
  <externalReferences>
    <externalReference r:id="rId11"/>
  </externalReferences>
  <definedNames>
    <definedName name="PlayerIndex" localSheetId="7">'[1]Final Results'!$G$11:INDEX('[1]Final Results'!$G$11:$G$90,SUMPRODUCT(--('[1]Final Results'!$G$11:$G$90&lt;&gt;"")))</definedName>
    <definedName name="PlayerIndex">'Final Results'!$G$11:INDEX('Final Results'!$G$11:$G$90,SUMPRODUCT(--('Final Results'!$G$11:$G$90&lt;&gt;"")))</definedName>
    <definedName name="TeamIndex" localSheetId="7">'[1]Tournament Details'!$Q$7:INDEX('[1]Tournament Details'!$Q$7:$Q$86,SUMPRODUCT(--('[1]Tournament Details'!$Q$7:$Q$86&lt;&gt;"")))</definedName>
    <definedName name="TeamIndex">'Tournament Details'!$Q$7:INDEX('Tournament Details'!$Q$7:$Q$86,SUMPRODUCT(--('Tournament Details'!$Q$7:$Q$86&lt;&gt;"")))</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1" l="1"/>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5" i="16"/>
  <c r="B4" i="16"/>
  <c r="B3" i="16"/>
  <c r="C8" i="2" l="1"/>
  <c r="C12" i="11"/>
  <c r="D4" i="1"/>
  <c r="C9" i="2"/>
  <c r="D5" i="1"/>
  <c r="C10" i="2"/>
  <c r="D6" i="1"/>
  <c r="AC7" i="2"/>
  <c r="C7" i="2"/>
  <c r="AD7" i="2"/>
  <c r="A1" i="2"/>
  <c r="E4" i="1"/>
  <c r="D3" i="1"/>
  <c r="F3" i="1"/>
  <c r="F4" i="1"/>
  <c r="E5" i="1"/>
  <c r="F5" i="1"/>
  <c r="E6"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AE7" i="2"/>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AF7" i="2"/>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AG7" i="2"/>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AH7" i="2"/>
  <c r="AI7" i="2"/>
  <c r="AC8" i="2"/>
  <c r="AD8" i="2"/>
  <c r="AE8" i="2"/>
  <c r="AF8" i="2"/>
  <c r="AG8" i="2"/>
  <c r="AH8" i="2"/>
  <c r="AI8" i="2"/>
  <c r="AC9" i="2"/>
  <c r="AD9" i="2"/>
  <c r="AE9" i="2"/>
  <c r="AF9" i="2"/>
  <c r="AG9" i="2"/>
  <c r="AH9" i="2"/>
  <c r="AI9" i="2"/>
  <c r="AC10" i="2"/>
  <c r="AD10" i="2"/>
  <c r="AE10" i="2"/>
  <c r="AF10" i="2"/>
  <c r="AG10" i="2"/>
  <c r="AH10"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B7" i="2"/>
  <c r="B8" i="2"/>
  <c r="D12" i="11"/>
  <c r="D11" i="11"/>
  <c r="A12" i="11"/>
  <c r="L12" i="11"/>
  <c r="C11" i="11"/>
  <c r="E3" i="1"/>
  <c r="E11" i="11"/>
  <c r="E12" i="11"/>
  <c r="C13" i="11"/>
  <c r="B9" i="2"/>
  <c r="D13" i="11"/>
  <c r="E13" i="11"/>
  <c r="C14" i="11"/>
  <c r="B10" i="2"/>
  <c r="D14" i="11"/>
  <c r="E14" i="11"/>
  <c r="D15" i="11"/>
  <c r="E15" i="11"/>
  <c r="D16" i="11"/>
  <c r="E16" i="11"/>
  <c r="D17" i="11"/>
  <c r="E17" i="11"/>
  <c r="D18" i="11"/>
  <c r="E18" i="11"/>
  <c r="D19" i="11"/>
  <c r="E19" i="11"/>
  <c r="D20" i="11"/>
  <c r="E20" i="11"/>
  <c r="D21" i="11"/>
  <c r="E21" i="11"/>
  <c r="D22" i="11"/>
  <c r="E22" i="11"/>
  <c r="D23" i="11"/>
  <c r="E23" i="11"/>
  <c r="D24" i="11"/>
  <c r="E24" i="11"/>
  <c r="D25" i="11"/>
  <c r="E25" i="11"/>
  <c r="D26" i="11"/>
  <c r="E26" i="11"/>
  <c r="D27" i="11"/>
  <c r="E27" i="11"/>
  <c r="D28" i="11"/>
  <c r="E28" i="11"/>
  <c r="D29" i="11"/>
  <c r="E29" i="11"/>
  <c r="D30" i="11"/>
  <c r="E30" i="11"/>
  <c r="D31" i="11"/>
  <c r="E31" i="11"/>
  <c r="D32" i="11"/>
  <c r="E32" i="11"/>
  <c r="D33" i="11"/>
  <c r="E33" i="11"/>
  <c r="D34" i="11"/>
  <c r="E34" i="11"/>
  <c r="D35" i="11"/>
  <c r="E35" i="11"/>
  <c r="D36" i="11"/>
  <c r="E36" i="11"/>
  <c r="D37" i="11"/>
  <c r="E37" i="11"/>
  <c r="D38" i="11"/>
  <c r="E38" i="11"/>
  <c r="D39" i="11"/>
  <c r="E39" i="11"/>
  <c r="D40" i="11"/>
  <c r="E40" i="11"/>
  <c r="D41" i="11"/>
  <c r="E41" i="11"/>
  <c r="D42" i="11"/>
  <c r="E42" i="11"/>
  <c r="D43" i="11"/>
  <c r="E43" i="11"/>
  <c r="D44" i="11"/>
  <c r="E44" i="11"/>
  <c r="D45" i="11"/>
  <c r="E45" i="11"/>
  <c r="D46" i="11"/>
  <c r="E46" i="11"/>
  <c r="D47" i="11"/>
  <c r="E47" i="11"/>
  <c r="D48" i="11"/>
  <c r="E48" i="11"/>
  <c r="D49" i="11"/>
  <c r="E49" i="11"/>
  <c r="D50" i="11"/>
  <c r="E50" i="11"/>
  <c r="D51" i="11"/>
  <c r="E51" i="11"/>
  <c r="D52" i="11"/>
  <c r="E52" i="11"/>
  <c r="D53" i="11"/>
  <c r="E53" i="11"/>
  <c r="D54" i="11"/>
  <c r="E54" i="11"/>
  <c r="D55" i="11"/>
  <c r="E55" i="11"/>
  <c r="D56" i="11"/>
  <c r="E56" i="11"/>
  <c r="D57" i="11"/>
  <c r="E57" i="11"/>
  <c r="D58" i="11"/>
  <c r="E58" i="11"/>
  <c r="D59" i="11"/>
  <c r="E59" i="11"/>
  <c r="D60" i="11"/>
  <c r="E60" i="11"/>
  <c r="D61" i="11"/>
  <c r="E61" i="11"/>
  <c r="D62" i="11"/>
  <c r="E62" i="11"/>
  <c r="D63" i="11"/>
  <c r="E63" i="11"/>
  <c r="D64" i="11"/>
  <c r="E64" i="11"/>
  <c r="D65" i="11"/>
  <c r="E65" i="11"/>
  <c r="D66" i="11"/>
  <c r="E66" i="11"/>
  <c r="D67" i="11"/>
  <c r="E67" i="11"/>
  <c r="D68" i="11"/>
  <c r="E68" i="11"/>
  <c r="D69" i="11"/>
  <c r="E69" i="11"/>
  <c r="D70" i="11"/>
  <c r="E70" i="11"/>
  <c r="D71" i="11"/>
  <c r="E71" i="11"/>
  <c r="D72" i="11"/>
  <c r="E72" i="11"/>
  <c r="D73" i="11"/>
  <c r="E73" i="11"/>
  <c r="D74" i="11"/>
  <c r="E74" i="11"/>
  <c r="D75" i="11"/>
  <c r="E75" i="11"/>
  <c r="D76" i="11"/>
  <c r="E76" i="11"/>
  <c r="D77" i="11"/>
  <c r="E77" i="11"/>
  <c r="D78" i="11"/>
  <c r="E78" i="11"/>
  <c r="D79" i="11"/>
  <c r="E79" i="11"/>
  <c r="D80" i="11"/>
  <c r="E80" i="11"/>
  <c r="D81" i="11"/>
  <c r="E81" i="11"/>
  <c r="D82" i="11"/>
  <c r="E82" i="11"/>
  <c r="D83" i="11"/>
  <c r="E83" i="11"/>
  <c r="D84" i="11"/>
  <c r="E84" i="11"/>
  <c r="D85" i="11"/>
  <c r="E85" i="11"/>
  <c r="D86" i="11"/>
  <c r="E86" i="11"/>
  <c r="D87" i="11"/>
  <c r="E87" i="11"/>
  <c r="D88" i="11"/>
  <c r="E88" i="11"/>
  <c r="D89" i="11"/>
  <c r="E89" i="11"/>
  <c r="D90" i="11"/>
  <c r="E90" i="11"/>
  <c r="K6" i="11"/>
  <c r="K5" i="11"/>
  <c r="K4" i="11"/>
  <c r="A11" i="11"/>
  <c r="J11" i="11"/>
  <c r="K11" i="11"/>
  <c r="L11" i="11"/>
  <c r="M11" i="11"/>
  <c r="N11" i="11"/>
  <c r="O11" i="11"/>
  <c r="P11" i="11"/>
  <c r="Q11" i="11"/>
  <c r="R11" i="11"/>
  <c r="S11" i="11"/>
  <c r="J12" i="11"/>
  <c r="K12" i="11"/>
  <c r="M12" i="11"/>
  <c r="N12" i="11"/>
  <c r="O12" i="11"/>
  <c r="P12" i="11"/>
  <c r="Q12" i="11"/>
  <c r="R12" i="11"/>
  <c r="S12" i="11"/>
  <c r="A13" i="11"/>
  <c r="J13" i="11"/>
  <c r="K13" i="11"/>
  <c r="L13" i="11"/>
  <c r="M13" i="11"/>
  <c r="N13" i="11"/>
  <c r="O13" i="11"/>
  <c r="P13" i="11"/>
  <c r="Q13" i="11"/>
  <c r="R13" i="11"/>
  <c r="S13" i="11"/>
  <c r="A14" i="11"/>
  <c r="J14" i="11"/>
  <c r="K14" i="11"/>
  <c r="L14" i="11"/>
  <c r="M14" i="11"/>
  <c r="N14" i="11"/>
  <c r="O14" i="11"/>
  <c r="P14" i="11"/>
  <c r="Q14" i="11"/>
  <c r="R14" i="11"/>
  <c r="S14" i="11"/>
  <c r="J15" i="11"/>
  <c r="K15" i="11"/>
  <c r="L15" i="11"/>
  <c r="M15" i="11"/>
  <c r="N15" i="11"/>
  <c r="O15" i="11"/>
  <c r="P15" i="11"/>
  <c r="Q15" i="11"/>
  <c r="R15" i="11"/>
  <c r="S15" i="11"/>
  <c r="J16" i="11"/>
  <c r="K16" i="11"/>
  <c r="L16" i="11"/>
  <c r="M16" i="11"/>
  <c r="N16" i="11"/>
  <c r="O16" i="11"/>
  <c r="P16" i="11"/>
  <c r="Q16" i="11"/>
  <c r="R16" i="11"/>
  <c r="S16" i="11"/>
  <c r="J17" i="11"/>
  <c r="K17" i="11"/>
  <c r="L17" i="11"/>
  <c r="M17" i="11"/>
  <c r="N17" i="11"/>
  <c r="O17" i="11"/>
  <c r="P17" i="11"/>
  <c r="Q17" i="11"/>
  <c r="R17" i="11"/>
  <c r="S17" i="11"/>
  <c r="J18" i="11"/>
  <c r="K18" i="11"/>
  <c r="L18" i="11"/>
  <c r="M18" i="11"/>
  <c r="N18" i="11"/>
  <c r="O18" i="11"/>
  <c r="P18" i="11"/>
  <c r="Q18" i="11"/>
  <c r="R18" i="11"/>
  <c r="S18" i="11"/>
  <c r="J19" i="11"/>
  <c r="K19" i="11"/>
  <c r="L19" i="11"/>
  <c r="M19" i="11"/>
  <c r="N19" i="11"/>
  <c r="O19" i="11"/>
  <c r="P19" i="11"/>
  <c r="Q19" i="11"/>
  <c r="R19" i="11"/>
  <c r="S19" i="11"/>
  <c r="J20" i="11"/>
  <c r="K20" i="11"/>
  <c r="L20" i="11"/>
  <c r="M20" i="11"/>
  <c r="N20" i="11"/>
  <c r="O20" i="11"/>
  <c r="P20" i="11"/>
  <c r="Q20" i="11"/>
  <c r="R20" i="11"/>
  <c r="S20" i="11"/>
  <c r="J21" i="11"/>
  <c r="K21" i="11"/>
  <c r="L21" i="11"/>
  <c r="M21" i="11"/>
  <c r="N21" i="11"/>
  <c r="O21" i="11"/>
  <c r="P21" i="11"/>
  <c r="Q21" i="11"/>
  <c r="R21" i="11"/>
  <c r="S21" i="11"/>
  <c r="J22" i="11"/>
  <c r="K22" i="11"/>
  <c r="L22" i="11"/>
  <c r="M22" i="11"/>
  <c r="N22" i="11"/>
  <c r="O22" i="11"/>
  <c r="P22" i="11"/>
  <c r="Q22" i="11"/>
  <c r="R22" i="11"/>
  <c r="S22" i="11"/>
  <c r="J23" i="11"/>
  <c r="K23" i="11"/>
  <c r="L23" i="11"/>
  <c r="M23" i="11"/>
  <c r="N23" i="11"/>
  <c r="O23" i="11"/>
  <c r="P23" i="11"/>
  <c r="Q23" i="11"/>
  <c r="R23" i="11"/>
  <c r="S23" i="11"/>
  <c r="J24" i="11"/>
  <c r="K24" i="11"/>
  <c r="L24" i="11"/>
  <c r="M24" i="11"/>
  <c r="N24" i="11"/>
  <c r="O24" i="11"/>
  <c r="P24" i="11"/>
  <c r="Q24" i="11"/>
  <c r="R24" i="11"/>
  <c r="S24" i="11"/>
  <c r="J25" i="11"/>
  <c r="K25" i="11"/>
  <c r="L25" i="11"/>
  <c r="M25" i="11"/>
  <c r="N25" i="11"/>
  <c r="O25" i="11"/>
  <c r="P25" i="11"/>
  <c r="Q25" i="11"/>
  <c r="R25" i="11"/>
  <c r="S25" i="11"/>
  <c r="J26" i="11"/>
  <c r="K26" i="11"/>
  <c r="L26" i="11"/>
  <c r="M26" i="11"/>
  <c r="N26" i="11"/>
  <c r="O26" i="11"/>
  <c r="P26" i="11"/>
  <c r="Q26" i="11"/>
  <c r="R26" i="11"/>
  <c r="S26" i="11"/>
  <c r="J27" i="11"/>
  <c r="K27" i="11"/>
  <c r="L27" i="11"/>
  <c r="M27" i="11"/>
  <c r="N27" i="11"/>
  <c r="O27" i="11"/>
  <c r="P27" i="11"/>
  <c r="Q27" i="11"/>
  <c r="R27" i="11"/>
  <c r="S27" i="11"/>
  <c r="J28" i="11"/>
  <c r="K28" i="11"/>
  <c r="L28" i="11"/>
  <c r="M28" i="11"/>
  <c r="N28" i="11"/>
  <c r="O28" i="11"/>
  <c r="P28" i="11"/>
  <c r="Q28" i="11"/>
  <c r="R28" i="11"/>
  <c r="S28" i="11"/>
  <c r="J29" i="11"/>
  <c r="K29" i="11"/>
  <c r="L29" i="11"/>
  <c r="M29" i="11"/>
  <c r="N29" i="11"/>
  <c r="O29" i="11"/>
  <c r="P29" i="11"/>
  <c r="Q29" i="11"/>
  <c r="R29" i="11"/>
  <c r="S29" i="11"/>
  <c r="J30" i="11"/>
  <c r="K30" i="11"/>
  <c r="L30" i="11"/>
  <c r="M30" i="11"/>
  <c r="N30" i="11"/>
  <c r="O30" i="11"/>
  <c r="P30" i="11"/>
  <c r="Q30" i="11"/>
  <c r="R30" i="11"/>
  <c r="S30" i="11"/>
  <c r="J31" i="11"/>
  <c r="K31" i="11"/>
  <c r="L31" i="11"/>
  <c r="M31" i="11"/>
  <c r="N31" i="11"/>
  <c r="O31" i="11"/>
  <c r="P31" i="11"/>
  <c r="Q31" i="11"/>
  <c r="R31" i="11"/>
  <c r="S31" i="11"/>
  <c r="J32" i="11"/>
  <c r="K32" i="11"/>
  <c r="L32" i="11"/>
  <c r="M32" i="11"/>
  <c r="N32" i="11"/>
  <c r="O32" i="11"/>
  <c r="P32" i="11"/>
  <c r="Q32" i="11"/>
  <c r="R32" i="11"/>
  <c r="S32" i="11"/>
  <c r="J33" i="11"/>
  <c r="K33" i="11"/>
  <c r="L33" i="11"/>
  <c r="M33" i="11"/>
  <c r="N33" i="11"/>
  <c r="O33" i="11"/>
  <c r="P33" i="11"/>
  <c r="Q33" i="11"/>
  <c r="R33" i="11"/>
  <c r="S33" i="11"/>
  <c r="J34" i="11"/>
  <c r="K34" i="11"/>
  <c r="L34" i="11"/>
  <c r="M34" i="11"/>
  <c r="N34" i="11"/>
  <c r="O34" i="11"/>
  <c r="P34" i="11"/>
  <c r="Q34" i="11"/>
  <c r="R34" i="11"/>
  <c r="S34" i="11"/>
  <c r="J35" i="11"/>
  <c r="K35" i="11"/>
  <c r="L35" i="11"/>
  <c r="M35" i="11"/>
  <c r="N35" i="11"/>
  <c r="O35" i="11"/>
  <c r="P35" i="11"/>
  <c r="Q35" i="11"/>
  <c r="R35" i="11"/>
  <c r="S35" i="11"/>
  <c r="J36" i="11"/>
  <c r="K36" i="11"/>
  <c r="L36" i="11"/>
  <c r="M36" i="11"/>
  <c r="N36" i="11"/>
  <c r="O36" i="11"/>
  <c r="P36" i="11"/>
  <c r="Q36" i="11"/>
  <c r="R36" i="11"/>
  <c r="S36" i="11"/>
  <c r="J37" i="11"/>
  <c r="K37" i="11"/>
  <c r="L37" i="11"/>
  <c r="M37" i="11"/>
  <c r="N37" i="11"/>
  <c r="O37" i="11"/>
  <c r="P37" i="11"/>
  <c r="Q37" i="11"/>
  <c r="R37" i="11"/>
  <c r="S37" i="11"/>
  <c r="J38" i="11"/>
  <c r="K38" i="11"/>
  <c r="L38" i="11"/>
  <c r="M38" i="11"/>
  <c r="N38" i="11"/>
  <c r="O38" i="11"/>
  <c r="P38" i="11"/>
  <c r="Q38" i="11"/>
  <c r="R38" i="11"/>
  <c r="S38" i="11"/>
  <c r="J39" i="11"/>
  <c r="K39" i="11"/>
  <c r="L39" i="11"/>
  <c r="M39" i="11"/>
  <c r="N39" i="11"/>
  <c r="O39" i="11"/>
  <c r="P39" i="11"/>
  <c r="Q39" i="11"/>
  <c r="R39" i="11"/>
  <c r="S39" i="11"/>
  <c r="J40" i="11"/>
  <c r="K40" i="11"/>
  <c r="L40" i="11"/>
  <c r="M40" i="11"/>
  <c r="N40" i="11"/>
  <c r="O40" i="11"/>
  <c r="P40" i="11"/>
  <c r="Q40" i="11"/>
  <c r="R40" i="11"/>
  <c r="S40" i="11"/>
  <c r="J41" i="11"/>
  <c r="K41" i="11"/>
  <c r="L41" i="11"/>
  <c r="M41" i="11"/>
  <c r="N41" i="11"/>
  <c r="O41" i="11"/>
  <c r="P41" i="11"/>
  <c r="Q41" i="11"/>
  <c r="R41" i="11"/>
  <c r="S41" i="11"/>
  <c r="J42" i="11"/>
  <c r="K42" i="11"/>
  <c r="L42" i="11"/>
  <c r="M42" i="11"/>
  <c r="N42" i="11"/>
  <c r="O42" i="11"/>
  <c r="P42" i="11"/>
  <c r="Q42" i="11"/>
  <c r="R42" i="11"/>
  <c r="S42" i="11"/>
  <c r="J43" i="11"/>
  <c r="K43" i="11"/>
  <c r="L43" i="11"/>
  <c r="M43" i="11"/>
  <c r="N43" i="11"/>
  <c r="O43" i="11"/>
  <c r="P43" i="11"/>
  <c r="Q43" i="11"/>
  <c r="R43" i="11"/>
  <c r="S43" i="11"/>
  <c r="J44" i="11"/>
  <c r="K44" i="11"/>
  <c r="L44" i="11"/>
  <c r="M44" i="11"/>
  <c r="N44" i="11"/>
  <c r="O44" i="11"/>
  <c r="P44" i="11"/>
  <c r="Q44" i="11"/>
  <c r="R44" i="11"/>
  <c r="S44" i="11"/>
  <c r="J45" i="11"/>
  <c r="K45" i="11"/>
  <c r="L45" i="11"/>
  <c r="M45" i="11"/>
  <c r="N45" i="11"/>
  <c r="O45" i="11"/>
  <c r="P45" i="11"/>
  <c r="Q45" i="11"/>
  <c r="R45" i="11"/>
  <c r="S45" i="11"/>
  <c r="J46" i="11"/>
  <c r="K46" i="11"/>
  <c r="L46" i="11"/>
  <c r="M46" i="11"/>
  <c r="N46" i="11"/>
  <c r="O46" i="11"/>
  <c r="P46" i="11"/>
  <c r="Q46" i="11"/>
  <c r="R46" i="11"/>
  <c r="S46" i="11"/>
  <c r="J47" i="11"/>
  <c r="K47" i="11"/>
  <c r="L47" i="11"/>
  <c r="M47" i="11"/>
  <c r="N47" i="11"/>
  <c r="O47" i="11"/>
  <c r="P47" i="11"/>
  <c r="Q47" i="11"/>
  <c r="R47" i="11"/>
  <c r="S47" i="11"/>
  <c r="J48" i="11"/>
  <c r="K48" i="11"/>
  <c r="L48" i="11"/>
  <c r="M48" i="11"/>
  <c r="N48" i="11"/>
  <c r="O48" i="11"/>
  <c r="P48" i="11"/>
  <c r="Q48" i="11"/>
  <c r="R48" i="11"/>
  <c r="S48" i="11"/>
  <c r="J49" i="11"/>
  <c r="K49" i="11"/>
  <c r="L49" i="11"/>
  <c r="M49" i="11"/>
  <c r="N49" i="11"/>
  <c r="O49" i="11"/>
  <c r="P49" i="11"/>
  <c r="Q49" i="11"/>
  <c r="R49" i="11"/>
  <c r="S49" i="11"/>
  <c r="J50" i="11"/>
  <c r="K50" i="11"/>
  <c r="L50" i="11"/>
  <c r="M50" i="11"/>
  <c r="N50" i="11"/>
  <c r="O50" i="11"/>
  <c r="P50" i="11"/>
  <c r="Q50" i="11"/>
  <c r="R50" i="11"/>
  <c r="S50" i="11"/>
  <c r="J51" i="11"/>
  <c r="K51" i="11"/>
  <c r="L51" i="11"/>
  <c r="M51" i="11"/>
  <c r="N51" i="11"/>
  <c r="O51" i="11"/>
  <c r="P51" i="11"/>
  <c r="Q51" i="11"/>
  <c r="R51" i="11"/>
  <c r="S51" i="11"/>
  <c r="J52" i="11"/>
  <c r="K52" i="11"/>
  <c r="L52" i="11"/>
  <c r="M52" i="11"/>
  <c r="N52" i="11"/>
  <c r="O52" i="11"/>
  <c r="P52" i="11"/>
  <c r="Q52" i="11"/>
  <c r="R52" i="11"/>
  <c r="S52" i="11"/>
  <c r="J53" i="11"/>
  <c r="K53" i="11"/>
  <c r="L53" i="11"/>
  <c r="M53" i="11"/>
  <c r="N53" i="11"/>
  <c r="O53" i="11"/>
  <c r="P53" i="11"/>
  <c r="Q53" i="11"/>
  <c r="R53" i="11"/>
  <c r="S53" i="11"/>
  <c r="J54" i="11"/>
  <c r="K54" i="11"/>
  <c r="L54" i="11"/>
  <c r="M54" i="11"/>
  <c r="N54" i="11"/>
  <c r="O54" i="11"/>
  <c r="P54" i="11"/>
  <c r="Q54" i="11"/>
  <c r="R54" i="11"/>
  <c r="S54" i="11"/>
  <c r="J55" i="11"/>
  <c r="K55" i="11"/>
  <c r="L55" i="11"/>
  <c r="M55" i="11"/>
  <c r="N55" i="11"/>
  <c r="O55" i="11"/>
  <c r="P55" i="11"/>
  <c r="Q55" i="11"/>
  <c r="R55" i="11"/>
  <c r="S55" i="11"/>
  <c r="J56" i="11"/>
  <c r="K56" i="11"/>
  <c r="L56" i="11"/>
  <c r="M56" i="11"/>
  <c r="N56" i="11"/>
  <c r="O56" i="11"/>
  <c r="P56" i="11"/>
  <c r="Q56" i="11"/>
  <c r="R56" i="11"/>
  <c r="S56" i="11"/>
  <c r="J57" i="11"/>
  <c r="K57" i="11"/>
  <c r="L57" i="11"/>
  <c r="M57" i="11"/>
  <c r="N57" i="11"/>
  <c r="O57" i="11"/>
  <c r="P57" i="11"/>
  <c r="Q57" i="11"/>
  <c r="R57" i="11"/>
  <c r="S57" i="11"/>
  <c r="J58" i="11"/>
  <c r="K58" i="11"/>
  <c r="L58" i="11"/>
  <c r="M58" i="11"/>
  <c r="N58" i="11"/>
  <c r="O58" i="11"/>
  <c r="P58" i="11"/>
  <c r="Q58" i="11"/>
  <c r="R58" i="11"/>
  <c r="S58" i="11"/>
  <c r="J59" i="11"/>
  <c r="K59" i="11"/>
  <c r="L59" i="11"/>
  <c r="M59" i="11"/>
  <c r="N59" i="11"/>
  <c r="O59" i="11"/>
  <c r="P59" i="11"/>
  <c r="Q59" i="11"/>
  <c r="R59" i="11"/>
  <c r="S59" i="11"/>
  <c r="J60" i="11"/>
  <c r="K60" i="11"/>
  <c r="L60" i="11"/>
  <c r="M60" i="11"/>
  <c r="N60" i="11"/>
  <c r="O60" i="11"/>
  <c r="P60" i="11"/>
  <c r="Q60" i="11"/>
  <c r="R60" i="11"/>
  <c r="S60" i="11"/>
  <c r="J61" i="11"/>
  <c r="K61" i="11"/>
  <c r="L61" i="11"/>
  <c r="M61" i="11"/>
  <c r="N61" i="11"/>
  <c r="O61" i="11"/>
  <c r="P61" i="11"/>
  <c r="Q61" i="11"/>
  <c r="R61" i="11"/>
  <c r="S61" i="11"/>
  <c r="J62" i="11"/>
  <c r="K62" i="11"/>
  <c r="L62" i="11"/>
  <c r="M62" i="11"/>
  <c r="N62" i="11"/>
  <c r="O62" i="11"/>
  <c r="P62" i="11"/>
  <c r="Q62" i="11"/>
  <c r="R62" i="11"/>
  <c r="S62" i="11"/>
  <c r="J63" i="11"/>
  <c r="K63" i="11"/>
  <c r="L63" i="11"/>
  <c r="M63" i="11"/>
  <c r="N63" i="11"/>
  <c r="O63" i="11"/>
  <c r="P63" i="11"/>
  <c r="Q63" i="11"/>
  <c r="R63" i="11"/>
  <c r="S63" i="11"/>
  <c r="J64" i="11"/>
  <c r="K64" i="11"/>
  <c r="L64" i="11"/>
  <c r="M64" i="11"/>
  <c r="N64" i="11"/>
  <c r="O64" i="11"/>
  <c r="P64" i="11"/>
  <c r="Q64" i="11"/>
  <c r="R64" i="11"/>
  <c r="S64" i="11"/>
  <c r="J65" i="11"/>
  <c r="K65" i="11"/>
  <c r="L65" i="11"/>
  <c r="M65" i="11"/>
  <c r="N65" i="11"/>
  <c r="O65" i="11"/>
  <c r="P65" i="11"/>
  <c r="Q65" i="11"/>
  <c r="R65" i="11"/>
  <c r="S65" i="11"/>
  <c r="J66" i="11"/>
  <c r="K66" i="11"/>
  <c r="L66" i="11"/>
  <c r="M66" i="11"/>
  <c r="N66" i="11"/>
  <c r="O66" i="11"/>
  <c r="P66" i="11"/>
  <c r="Q66" i="11"/>
  <c r="R66" i="11"/>
  <c r="S66" i="11"/>
  <c r="J67" i="11"/>
  <c r="K67" i="11"/>
  <c r="L67" i="11"/>
  <c r="M67" i="11"/>
  <c r="N67" i="11"/>
  <c r="O67" i="11"/>
  <c r="P67" i="11"/>
  <c r="Q67" i="11"/>
  <c r="R67" i="11"/>
  <c r="S67" i="11"/>
  <c r="J68" i="11"/>
  <c r="K68" i="11"/>
  <c r="L68" i="11"/>
  <c r="M68" i="11"/>
  <c r="N68" i="11"/>
  <c r="O68" i="11"/>
  <c r="P68" i="11"/>
  <c r="Q68" i="11"/>
  <c r="R68" i="11"/>
  <c r="S68" i="11"/>
  <c r="J69" i="11"/>
  <c r="K69" i="11"/>
  <c r="L69" i="11"/>
  <c r="M69" i="11"/>
  <c r="N69" i="11"/>
  <c r="O69" i="11"/>
  <c r="P69" i="11"/>
  <c r="Q69" i="11"/>
  <c r="R69" i="11"/>
  <c r="S69" i="11"/>
  <c r="J70" i="11"/>
  <c r="K70" i="11"/>
  <c r="L70" i="11"/>
  <c r="M70" i="11"/>
  <c r="N70" i="11"/>
  <c r="O70" i="11"/>
  <c r="P70" i="11"/>
  <c r="Q70" i="11"/>
  <c r="R70" i="11"/>
  <c r="S70" i="11"/>
  <c r="J71" i="11"/>
  <c r="K71" i="11"/>
  <c r="L71" i="11"/>
  <c r="M71" i="11"/>
  <c r="N71" i="11"/>
  <c r="O71" i="11"/>
  <c r="P71" i="11"/>
  <c r="Q71" i="11"/>
  <c r="R71" i="11"/>
  <c r="S71" i="11"/>
  <c r="J72" i="11"/>
  <c r="K72" i="11"/>
  <c r="L72" i="11"/>
  <c r="M72" i="11"/>
  <c r="N72" i="11"/>
  <c r="O72" i="11"/>
  <c r="P72" i="11"/>
  <c r="Q72" i="11"/>
  <c r="R72" i="11"/>
  <c r="S72" i="11"/>
  <c r="J73" i="11"/>
  <c r="K73" i="11"/>
  <c r="L73" i="11"/>
  <c r="M73" i="11"/>
  <c r="N73" i="11"/>
  <c r="O73" i="11"/>
  <c r="P73" i="11"/>
  <c r="Q73" i="11"/>
  <c r="R73" i="11"/>
  <c r="S73" i="11"/>
  <c r="J74" i="11"/>
  <c r="K74" i="11"/>
  <c r="L74" i="11"/>
  <c r="M74" i="11"/>
  <c r="N74" i="11"/>
  <c r="O74" i="11"/>
  <c r="P74" i="11"/>
  <c r="Q74" i="11"/>
  <c r="R74" i="11"/>
  <c r="S74" i="11"/>
  <c r="J75" i="11"/>
  <c r="K75" i="11"/>
  <c r="L75" i="11"/>
  <c r="M75" i="11"/>
  <c r="N75" i="11"/>
  <c r="O75" i="11"/>
  <c r="P75" i="11"/>
  <c r="Q75" i="11"/>
  <c r="R75" i="11"/>
  <c r="S75" i="11"/>
  <c r="J76" i="11"/>
  <c r="K76" i="11"/>
  <c r="L76" i="11"/>
  <c r="M76" i="11"/>
  <c r="N76" i="11"/>
  <c r="O76" i="11"/>
  <c r="P76" i="11"/>
  <c r="Q76" i="11"/>
  <c r="R76" i="11"/>
  <c r="S76" i="11"/>
  <c r="J77" i="11"/>
  <c r="K77" i="11"/>
  <c r="L77" i="11"/>
  <c r="M77" i="11"/>
  <c r="N77" i="11"/>
  <c r="O77" i="11"/>
  <c r="P77" i="11"/>
  <c r="Q77" i="11"/>
  <c r="R77" i="11"/>
  <c r="S77" i="11"/>
  <c r="J78" i="11"/>
  <c r="K78" i="11"/>
  <c r="L78" i="11"/>
  <c r="M78" i="11"/>
  <c r="N78" i="11"/>
  <c r="O78" i="11"/>
  <c r="P78" i="11"/>
  <c r="Q78" i="11"/>
  <c r="R78" i="11"/>
  <c r="S78" i="11"/>
  <c r="J79" i="11"/>
  <c r="K79" i="11"/>
  <c r="L79" i="11"/>
  <c r="M79" i="11"/>
  <c r="N79" i="11"/>
  <c r="O79" i="11"/>
  <c r="P79" i="11"/>
  <c r="Q79" i="11"/>
  <c r="R79" i="11"/>
  <c r="S79" i="11"/>
  <c r="J80" i="11"/>
  <c r="K80" i="11"/>
  <c r="L80" i="11"/>
  <c r="M80" i="11"/>
  <c r="N80" i="11"/>
  <c r="O80" i="11"/>
  <c r="P80" i="11"/>
  <c r="Q80" i="11"/>
  <c r="R80" i="11"/>
  <c r="S80" i="11"/>
  <c r="J81" i="11"/>
  <c r="K81" i="11"/>
  <c r="L81" i="11"/>
  <c r="M81" i="11"/>
  <c r="N81" i="11"/>
  <c r="O81" i="11"/>
  <c r="P81" i="11"/>
  <c r="Q81" i="11"/>
  <c r="R81" i="11"/>
  <c r="S81" i="11"/>
  <c r="J82" i="11"/>
  <c r="K82" i="11"/>
  <c r="L82" i="11"/>
  <c r="M82" i="11"/>
  <c r="N82" i="11"/>
  <c r="O82" i="11"/>
  <c r="P82" i="11"/>
  <c r="Q82" i="11"/>
  <c r="R82" i="11"/>
  <c r="S82" i="11"/>
  <c r="J83" i="11"/>
  <c r="K83" i="11"/>
  <c r="L83" i="11"/>
  <c r="M83" i="11"/>
  <c r="N83" i="11"/>
  <c r="O83" i="11"/>
  <c r="P83" i="11"/>
  <c r="Q83" i="11"/>
  <c r="R83" i="11"/>
  <c r="S83" i="11"/>
  <c r="J84" i="11"/>
  <c r="K84" i="11"/>
  <c r="L84" i="11"/>
  <c r="M84" i="11"/>
  <c r="N84" i="11"/>
  <c r="O84" i="11"/>
  <c r="P84" i="11"/>
  <c r="Q84" i="11"/>
  <c r="R84" i="11"/>
  <c r="S84" i="11"/>
  <c r="J85" i="11"/>
  <c r="K85" i="11"/>
  <c r="L85" i="11"/>
  <c r="M85" i="11"/>
  <c r="N85" i="11"/>
  <c r="O85" i="11"/>
  <c r="P85" i="11"/>
  <c r="Q85" i="11"/>
  <c r="R85" i="11"/>
  <c r="S85" i="11"/>
  <c r="J86" i="11"/>
  <c r="K86" i="11"/>
  <c r="L86" i="11"/>
  <c r="M86" i="11"/>
  <c r="N86" i="11"/>
  <c r="O86" i="11"/>
  <c r="P86" i="11"/>
  <c r="Q86" i="11"/>
  <c r="R86" i="11"/>
  <c r="S86" i="11"/>
  <c r="J87" i="11"/>
  <c r="K87" i="11"/>
  <c r="L87" i="11"/>
  <c r="M87" i="11"/>
  <c r="N87" i="11"/>
  <c r="O87" i="11"/>
  <c r="P87" i="11"/>
  <c r="Q87" i="11"/>
  <c r="R87" i="11"/>
  <c r="S87" i="11"/>
  <c r="J88" i="11"/>
  <c r="K88" i="11"/>
  <c r="L88" i="11"/>
  <c r="M88" i="11"/>
  <c r="N88" i="11"/>
  <c r="O88" i="11"/>
  <c r="P88" i="11"/>
  <c r="Q88" i="11"/>
  <c r="R88" i="11"/>
  <c r="S88" i="11"/>
  <c r="J89" i="11"/>
  <c r="K89" i="11"/>
  <c r="L89" i="11"/>
  <c r="M89" i="11"/>
  <c r="N89" i="11"/>
  <c r="O89" i="11"/>
  <c r="P89" i="11"/>
  <c r="Q89" i="11"/>
  <c r="R89" i="11"/>
  <c r="S89" i="11"/>
  <c r="J90" i="11"/>
  <c r="K90" i="11"/>
  <c r="L90" i="11"/>
  <c r="M90" i="11"/>
  <c r="N90" i="11"/>
  <c r="O90" i="11"/>
  <c r="P90" i="11"/>
  <c r="Q90" i="11"/>
  <c r="R90" i="11"/>
  <c r="S90" i="1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Q3" i="10"/>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Q6" i="9"/>
  <c r="Q5" i="9"/>
  <c r="Q4" i="9"/>
  <c r="Q3" i="9"/>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4" i="6"/>
  <c r="Q3" i="6"/>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c r="Q3" i="5"/>
  <c r="C11" i="2"/>
  <c r="C12" i="2"/>
  <c r="C13" i="2"/>
  <c r="C14" i="2"/>
  <c r="B3" i="1"/>
  <c r="B4" i="1"/>
  <c r="D7" i="1"/>
  <c r="D8" i="1"/>
  <c r="D9" i="1"/>
  <c r="D10" i="1"/>
  <c r="B5" i="1"/>
  <c r="B7" i="1"/>
  <c r="E7" i="1"/>
  <c r="B8" i="1"/>
  <c r="E8" i="1"/>
  <c r="B9" i="1"/>
  <c r="E9" i="1"/>
  <c r="B10" i="1"/>
  <c r="E10" i="1"/>
  <c r="G3" i="1"/>
  <c r="G4" i="1"/>
  <c r="G5" i="1"/>
  <c r="G6" i="1"/>
  <c r="B6" i="1"/>
  <c r="G7" i="1"/>
  <c r="G8" i="1"/>
  <c r="G9" i="1"/>
  <c r="G10" i="1"/>
  <c r="C16" i="2"/>
  <c r="D12" i="1"/>
  <c r="G11" i="1"/>
  <c r="B11" i="1"/>
  <c r="C15" i="2"/>
  <c r="D11" i="1"/>
  <c r="E11" i="1"/>
  <c r="G12" i="1"/>
  <c r="B12" i="1"/>
  <c r="E12" i="1"/>
  <c r="C18" i="2"/>
  <c r="D14" i="1"/>
  <c r="G13" i="1"/>
  <c r="B13" i="1"/>
  <c r="C17" i="2"/>
  <c r="D13" i="1"/>
  <c r="E13" i="1"/>
  <c r="G14" i="1"/>
  <c r="B14" i="1"/>
  <c r="E14" i="1"/>
  <c r="C20" i="2"/>
  <c r="D16" i="1"/>
  <c r="G15" i="1"/>
  <c r="B15" i="1"/>
  <c r="C19" i="2"/>
  <c r="D15" i="1"/>
  <c r="E15" i="1"/>
  <c r="G16" i="1"/>
  <c r="B16" i="1"/>
  <c r="E16" i="1"/>
  <c r="C22" i="2"/>
  <c r="D18" i="1"/>
  <c r="G17" i="1"/>
  <c r="B17" i="1"/>
  <c r="C21" i="2"/>
  <c r="D17" i="1"/>
  <c r="E17" i="1"/>
  <c r="G18" i="1"/>
  <c r="B18" i="1"/>
  <c r="E18" i="1"/>
  <c r="C24" i="2"/>
  <c r="D20" i="1"/>
  <c r="G19" i="1"/>
  <c r="B19" i="1"/>
  <c r="C23" i="2"/>
  <c r="D19" i="1"/>
  <c r="E19" i="1"/>
  <c r="G20" i="1"/>
  <c r="B20" i="1"/>
  <c r="E20" i="1"/>
  <c r="C26" i="2"/>
  <c r="D22" i="1"/>
  <c r="G21" i="1"/>
  <c r="B21" i="1"/>
  <c r="C25" i="2"/>
  <c r="D21" i="1"/>
  <c r="E21" i="1"/>
  <c r="G22" i="1"/>
  <c r="B22" i="1"/>
  <c r="E22" i="1"/>
  <c r="C28" i="2"/>
  <c r="D24" i="1"/>
  <c r="G23" i="1"/>
  <c r="B23" i="1"/>
  <c r="C27" i="2"/>
  <c r="D23" i="1"/>
  <c r="E23" i="1"/>
  <c r="G24" i="1"/>
  <c r="B24" i="1"/>
  <c r="E24" i="1"/>
  <c r="C30" i="2"/>
  <c r="D26" i="1"/>
  <c r="G25" i="1"/>
  <c r="B25" i="1"/>
  <c r="C29" i="2"/>
  <c r="D25" i="1"/>
  <c r="E25" i="1"/>
  <c r="G26" i="1"/>
  <c r="B26" i="1"/>
  <c r="E26" i="1"/>
  <c r="C32" i="2"/>
  <c r="D28" i="1"/>
  <c r="G27" i="1"/>
  <c r="B27" i="1"/>
  <c r="C31" i="2"/>
  <c r="D27" i="1"/>
  <c r="E27" i="1"/>
  <c r="G28" i="1"/>
  <c r="B28" i="1"/>
  <c r="E28" i="1"/>
  <c r="C34" i="2"/>
  <c r="D30" i="1"/>
  <c r="G29" i="1"/>
  <c r="B29" i="1"/>
  <c r="C33" i="2"/>
  <c r="D29" i="1"/>
  <c r="E29" i="1"/>
  <c r="G30" i="1"/>
  <c r="B30" i="1"/>
  <c r="E30" i="1"/>
  <c r="C36" i="2"/>
  <c r="D32" i="1"/>
  <c r="G31" i="1"/>
  <c r="B31" i="1"/>
  <c r="C35" i="2"/>
  <c r="D31" i="1"/>
  <c r="E31" i="1"/>
  <c r="G32" i="1"/>
  <c r="B32" i="1"/>
  <c r="E32" i="1"/>
  <c r="C38" i="2"/>
  <c r="D34" i="1"/>
  <c r="G33" i="1"/>
  <c r="B33" i="1"/>
  <c r="C37" i="2"/>
  <c r="D33" i="1"/>
  <c r="E33" i="1"/>
  <c r="G34" i="1"/>
  <c r="B34" i="1"/>
  <c r="E34" i="1"/>
  <c r="C39" i="2"/>
  <c r="D35" i="1"/>
  <c r="C40" i="2"/>
  <c r="D36" i="1"/>
  <c r="G35" i="1"/>
  <c r="B35" i="1"/>
  <c r="E35" i="1"/>
  <c r="G36" i="1"/>
  <c r="B36" i="1"/>
  <c r="E36" i="1"/>
  <c r="C41" i="2"/>
  <c r="D37" i="1"/>
  <c r="C42" i="2"/>
  <c r="D38" i="1"/>
  <c r="G37" i="1"/>
  <c r="B37" i="1"/>
  <c r="E37" i="1"/>
  <c r="G38" i="1"/>
  <c r="B38" i="1"/>
  <c r="E38" i="1"/>
  <c r="C43" i="2"/>
  <c r="D39" i="1"/>
  <c r="C44" i="2"/>
  <c r="D40" i="1"/>
  <c r="G39" i="1"/>
  <c r="B39" i="1"/>
  <c r="E39" i="1"/>
  <c r="G40" i="1"/>
  <c r="B40" i="1"/>
  <c r="E40" i="1"/>
  <c r="C45" i="2"/>
  <c r="D41" i="1"/>
  <c r="C46" i="2"/>
  <c r="D42" i="1"/>
  <c r="G41" i="1"/>
  <c r="B41" i="1"/>
  <c r="E41" i="1"/>
  <c r="G42" i="1"/>
  <c r="B42" i="1"/>
  <c r="E42" i="1"/>
  <c r="C47" i="2"/>
  <c r="D43" i="1"/>
  <c r="C48" i="2"/>
  <c r="D44" i="1"/>
  <c r="G43" i="1"/>
  <c r="B43" i="1"/>
  <c r="E43" i="1"/>
  <c r="G44" i="1"/>
  <c r="B44" i="1"/>
  <c r="E44" i="1"/>
  <c r="C49" i="2"/>
  <c r="D45" i="1"/>
  <c r="C50" i="2"/>
  <c r="D46" i="1"/>
  <c r="G45" i="1"/>
  <c r="B45" i="1"/>
  <c r="E45" i="1"/>
  <c r="G46" i="1"/>
  <c r="B46" i="1"/>
  <c r="E46" i="1"/>
  <c r="C51" i="2"/>
  <c r="D47" i="1"/>
  <c r="C52" i="2"/>
  <c r="D48" i="1"/>
  <c r="G47" i="1"/>
  <c r="B47" i="1"/>
  <c r="E47" i="1"/>
  <c r="G48" i="1"/>
  <c r="B48" i="1"/>
  <c r="E48" i="1"/>
  <c r="C53" i="2"/>
  <c r="D49" i="1"/>
  <c r="C54" i="2"/>
  <c r="D50" i="1"/>
  <c r="G49" i="1"/>
  <c r="B49" i="1"/>
  <c r="E49" i="1"/>
  <c r="G50" i="1"/>
  <c r="B50" i="1"/>
  <c r="E50" i="1"/>
  <c r="C55" i="2"/>
  <c r="D51" i="1"/>
  <c r="C56" i="2"/>
  <c r="D52" i="1"/>
  <c r="G51" i="1"/>
  <c r="B51" i="1"/>
  <c r="E51" i="1"/>
  <c r="G52" i="1"/>
  <c r="B52" i="1"/>
  <c r="E52" i="1"/>
  <c r="C57" i="2"/>
  <c r="D53" i="1"/>
  <c r="C58" i="2"/>
  <c r="D54" i="1"/>
  <c r="G53" i="1"/>
  <c r="B53" i="1"/>
  <c r="E53" i="1"/>
  <c r="G54" i="1"/>
  <c r="B54" i="1"/>
  <c r="E54" i="1"/>
  <c r="C59" i="2"/>
  <c r="D55" i="1"/>
  <c r="C60" i="2"/>
  <c r="D56" i="1"/>
  <c r="G55" i="1"/>
  <c r="B55" i="1"/>
  <c r="E55" i="1"/>
  <c r="G56" i="1"/>
  <c r="B56" i="1"/>
  <c r="E56" i="1"/>
  <c r="C61" i="2"/>
  <c r="D57" i="1"/>
  <c r="C62" i="2"/>
  <c r="D58" i="1"/>
  <c r="G57" i="1"/>
  <c r="B57" i="1"/>
  <c r="E57" i="1"/>
  <c r="G58" i="1"/>
  <c r="B58" i="1"/>
  <c r="E58" i="1"/>
  <c r="C63" i="2"/>
  <c r="D59" i="1"/>
  <c r="C64" i="2"/>
  <c r="D60" i="1"/>
  <c r="G59" i="1"/>
  <c r="B59" i="1"/>
  <c r="E59" i="1"/>
  <c r="G60" i="1"/>
  <c r="B60" i="1"/>
  <c r="E60" i="1"/>
  <c r="C65" i="2"/>
  <c r="D61" i="1"/>
  <c r="C66" i="2"/>
  <c r="D62" i="1"/>
  <c r="G61" i="1"/>
  <c r="B61" i="1"/>
  <c r="E61" i="1"/>
  <c r="G62" i="1"/>
  <c r="B62" i="1"/>
  <c r="E62" i="1"/>
  <c r="C67" i="2"/>
  <c r="D63" i="1"/>
  <c r="C68" i="2"/>
  <c r="D64" i="1"/>
  <c r="G63" i="1"/>
  <c r="B63" i="1"/>
  <c r="E63" i="1"/>
  <c r="G64" i="1"/>
  <c r="B64" i="1"/>
  <c r="E64" i="1"/>
  <c r="C69" i="2"/>
  <c r="D65" i="1"/>
  <c r="C70" i="2"/>
  <c r="D66" i="1"/>
  <c r="G65" i="1"/>
  <c r="B65" i="1"/>
  <c r="E65" i="1"/>
  <c r="G66" i="1"/>
  <c r="B66" i="1"/>
  <c r="E66" i="1"/>
  <c r="C71" i="2"/>
  <c r="D67" i="1"/>
  <c r="C72" i="2"/>
  <c r="D68" i="1"/>
  <c r="G67" i="1"/>
  <c r="B67" i="1"/>
  <c r="E67" i="1"/>
  <c r="G68" i="1"/>
  <c r="B68" i="1"/>
  <c r="E68" i="1"/>
  <c r="C73" i="2"/>
  <c r="D69" i="1"/>
  <c r="C74" i="2"/>
  <c r="D70" i="1"/>
  <c r="G69" i="1"/>
  <c r="B69" i="1"/>
  <c r="E69" i="1"/>
  <c r="G70" i="1"/>
  <c r="B70" i="1"/>
  <c r="E70" i="1"/>
  <c r="C75" i="2"/>
  <c r="D71" i="1"/>
  <c r="C76" i="2"/>
  <c r="D72" i="1"/>
  <c r="G71" i="1"/>
  <c r="B71" i="1"/>
  <c r="E71" i="1"/>
  <c r="G72" i="1"/>
  <c r="B72" i="1"/>
  <c r="E72" i="1"/>
  <c r="C77" i="2"/>
  <c r="D73" i="1"/>
  <c r="C78" i="2"/>
  <c r="D74" i="1"/>
  <c r="G73" i="1"/>
  <c r="B73" i="1"/>
  <c r="E73" i="1"/>
  <c r="G74" i="1"/>
  <c r="B74" i="1"/>
  <c r="E74" i="1"/>
  <c r="C79" i="2"/>
  <c r="D75" i="1"/>
  <c r="C80" i="2"/>
  <c r="D76" i="1"/>
  <c r="G75" i="1"/>
  <c r="B75" i="1"/>
  <c r="E75" i="1"/>
  <c r="G76" i="1"/>
  <c r="B76" i="1"/>
  <c r="E76" i="1"/>
  <c r="C81" i="2"/>
  <c r="D77" i="1"/>
  <c r="C82" i="2"/>
  <c r="D78" i="1"/>
  <c r="G77" i="1"/>
  <c r="B77" i="1"/>
  <c r="E77" i="1"/>
  <c r="G78" i="1"/>
  <c r="B78" i="1"/>
  <c r="E78" i="1"/>
  <c r="C83" i="2"/>
  <c r="D79" i="1"/>
  <c r="C84" i="2"/>
  <c r="D80" i="1"/>
  <c r="G79" i="1"/>
  <c r="B79" i="1"/>
  <c r="E79" i="1"/>
  <c r="G80" i="1"/>
  <c r="B80" i="1"/>
  <c r="E80" i="1"/>
  <c r="C85" i="2"/>
  <c r="D81" i="1"/>
  <c r="C86" i="2"/>
  <c r="D82" i="1"/>
  <c r="G81" i="1"/>
  <c r="B81" i="1"/>
  <c r="E81" i="1"/>
  <c r="G82" i="1"/>
  <c r="B82" i="1"/>
  <c r="E82" i="1"/>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3" i="10"/>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3" i="9"/>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3" i="6"/>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3" i="5"/>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4" i="5"/>
  <c r="S3" i="5"/>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S3" i="6"/>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S4" i="10"/>
  <c r="S3" i="10"/>
  <c r="R82" i="1"/>
  <c r="T82" i="1"/>
  <c r="R81" i="1"/>
  <c r="T81" i="1"/>
  <c r="R80" i="1"/>
  <c r="T80" i="1"/>
  <c r="R79" i="1"/>
  <c r="T79" i="1"/>
  <c r="R78" i="1"/>
  <c r="T78" i="1"/>
  <c r="R77" i="1"/>
  <c r="T77" i="1"/>
  <c r="R76" i="1"/>
  <c r="T76" i="1"/>
  <c r="R75" i="1"/>
  <c r="T75" i="1"/>
  <c r="R74" i="1"/>
  <c r="T74" i="1"/>
  <c r="R73" i="1"/>
  <c r="T73" i="1"/>
  <c r="R72" i="1"/>
  <c r="T72" i="1"/>
  <c r="R71" i="1"/>
  <c r="T71" i="1"/>
  <c r="R70" i="1"/>
  <c r="T70" i="1"/>
  <c r="R69" i="1"/>
  <c r="T69" i="1"/>
  <c r="R68" i="1"/>
  <c r="T68" i="1"/>
  <c r="R67" i="1"/>
  <c r="T67" i="1"/>
  <c r="R66" i="1"/>
  <c r="T66" i="1"/>
  <c r="R65" i="1"/>
  <c r="T65" i="1"/>
  <c r="R64" i="1"/>
  <c r="T64" i="1"/>
  <c r="R63" i="1"/>
  <c r="T63" i="1"/>
  <c r="R62" i="1"/>
  <c r="T62" i="1"/>
  <c r="R61" i="1"/>
  <c r="T61" i="1"/>
  <c r="R60" i="1"/>
  <c r="T60" i="1"/>
  <c r="R59" i="1"/>
  <c r="T59" i="1"/>
  <c r="R58" i="1"/>
  <c r="T58" i="1"/>
  <c r="R57" i="1"/>
  <c r="T57" i="1"/>
  <c r="R56" i="1"/>
  <c r="T56" i="1"/>
  <c r="R55" i="1"/>
  <c r="T55" i="1"/>
  <c r="R54" i="1"/>
  <c r="T54" i="1"/>
  <c r="R53" i="1"/>
  <c r="T53" i="1"/>
  <c r="R52" i="1"/>
  <c r="T52" i="1"/>
  <c r="R51" i="1"/>
  <c r="T51" i="1"/>
  <c r="R50" i="1"/>
  <c r="T50" i="1"/>
  <c r="R49" i="1"/>
  <c r="T49" i="1"/>
  <c r="R48" i="1"/>
  <c r="T48" i="1"/>
  <c r="R47" i="1"/>
  <c r="T47" i="1"/>
  <c r="R46" i="1"/>
  <c r="T46" i="1"/>
  <c r="R45" i="1"/>
  <c r="T45" i="1"/>
  <c r="R44" i="1"/>
  <c r="T44" i="1"/>
  <c r="R43" i="1"/>
  <c r="T43" i="1"/>
  <c r="R42" i="1"/>
  <c r="T42" i="1"/>
  <c r="R41" i="1"/>
  <c r="T41" i="1"/>
  <c r="R40" i="1"/>
  <c r="T40" i="1"/>
  <c r="R39" i="1"/>
  <c r="T39" i="1"/>
  <c r="R38" i="1"/>
  <c r="T38" i="1"/>
  <c r="R37" i="1"/>
  <c r="T37" i="1"/>
  <c r="R36" i="1"/>
  <c r="T36" i="1"/>
  <c r="R35" i="1"/>
  <c r="T35" i="1"/>
  <c r="R34" i="1"/>
  <c r="T34" i="1"/>
  <c r="R33" i="1"/>
  <c r="T33" i="1"/>
  <c r="R32" i="1"/>
  <c r="T32" i="1"/>
  <c r="R31" i="1"/>
  <c r="T31" i="1"/>
  <c r="R30" i="1"/>
  <c r="T30" i="1"/>
  <c r="R29" i="1"/>
  <c r="T29" i="1"/>
  <c r="R28" i="1"/>
  <c r="T28" i="1"/>
  <c r="R27" i="1"/>
  <c r="T27" i="1"/>
  <c r="R26" i="1"/>
  <c r="T26" i="1"/>
  <c r="R25" i="1"/>
  <c r="T25" i="1"/>
  <c r="R24" i="1"/>
  <c r="T24" i="1"/>
  <c r="R23" i="1"/>
  <c r="T23" i="1"/>
  <c r="R22" i="1"/>
  <c r="T22" i="1"/>
  <c r="R21" i="1"/>
  <c r="T21" i="1"/>
  <c r="R20" i="1"/>
  <c r="T20" i="1"/>
  <c r="R19" i="1"/>
  <c r="T19" i="1"/>
  <c r="R18" i="1"/>
  <c r="T18" i="1"/>
  <c r="R17" i="1"/>
  <c r="T17" i="1"/>
  <c r="R16" i="1"/>
  <c r="T16" i="1"/>
  <c r="R15" i="1"/>
  <c r="T15" i="1"/>
  <c r="R14" i="1"/>
  <c r="T14" i="1"/>
  <c r="R13" i="1"/>
  <c r="T13" i="1"/>
  <c r="R12" i="1"/>
  <c r="T12" i="1"/>
  <c r="R11" i="1"/>
  <c r="T11" i="1"/>
  <c r="R10" i="1"/>
  <c r="T10" i="1"/>
  <c r="R9" i="1"/>
  <c r="T9" i="1"/>
  <c r="R8" i="1"/>
  <c r="T8" i="1"/>
  <c r="R7" i="1"/>
  <c r="T7" i="1"/>
  <c r="R6" i="1"/>
  <c r="T6" i="1"/>
  <c r="R5" i="1"/>
  <c r="T5" i="1"/>
  <c r="R4" i="1"/>
  <c r="T4" i="1"/>
  <c r="R3" i="1"/>
  <c r="T3" i="1"/>
  <c r="R82" i="5"/>
  <c r="T82" i="5"/>
  <c r="R81" i="5"/>
  <c r="T81" i="5"/>
  <c r="R80" i="5"/>
  <c r="T80" i="5"/>
  <c r="R79" i="5"/>
  <c r="T79" i="5"/>
  <c r="R78" i="5"/>
  <c r="T78" i="5"/>
  <c r="R77" i="5"/>
  <c r="T77" i="5"/>
  <c r="R76" i="5"/>
  <c r="T76" i="5"/>
  <c r="R75" i="5"/>
  <c r="T75" i="5"/>
  <c r="R74" i="5"/>
  <c r="T74" i="5"/>
  <c r="R73" i="5"/>
  <c r="T73" i="5"/>
  <c r="R72" i="5"/>
  <c r="T72" i="5"/>
  <c r="R71" i="5"/>
  <c r="T71" i="5"/>
  <c r="R70" i="5"/>
  <c r="T70" i="5"/>
  <c r="R69" i="5"/>
  <c r="T69" i="5"/>
  <c r="R68" i="5"/>
  <c r="T68" i="5"/>
  <c r="R67" i="5"/>
  <c r="T67" i="5"/>
  <c r="R66" i="5"/>
  <c r="T66" i="5"/>
  <c r="R65" i="5"/>
  <c r="T65" i="5"/>
  <c r="R64" i="5"/>
  <c r="T64" i="5"/>
  <c r="R63" i="5"/>
  <c r="T63" i="5"/>
  <c r="R62" i="5"/>
  <c r="T62" i="5"/>
  <c r="R61" i="5"/>
  <c r="T61" i="5"/>
  <c r="R60" i="5"/>
  <c r="T60" i="5"/>
  <c r="R59" i="5"/>
  <c r="T59" i="5"/>
  <c r="R58" i="5"/>
  <c r="T58" i="5"/>
  <c r="R57" i="5"/>
  <c r="T57" i="5"/>
  <c r="R56" i="5"/>
  <c r="T56" i="5"/>
  <c r="R55" i="5"/>
  <c r="T55" i="5"/>
  <c r="R54" i="5"/>
  <c r="T54" i="5"/>
  <c r="R53" i="5"/>
  <c r="T53" i="5"/>
  <c r="R52" i="5"/>
  <c r="T52" i="5"/>
  <c r="R51" i="5"/>
  <c r="T51" i="5"/>
  <c r="R50" i="5"/>
  <c r="T50" i="5"/>
  <c r="R49" i="5"/>
  <c r="T49" i="5"/>
  <c r="R48" i="5"/>
  <c r="T48" i="5"/>
  <c r="R47" i="5"/>
  <c r="T47" i="5"/>
  <c r="R46" i="5"/>
  <c r="T46" i="5"/>
  <c r="R45" i="5"/>
  <c r="T45" i="5"/>
  <c r="R44" i="5"/>
  <c r="T44" i="5"/>
  <c r="R43" i="5"/>
  <c r="T43" i="5"/>
  <c r="R42" i="5"/>
  <c r="T42" i="5"/>
  <c r="R41" i="5"/>
  <c r="T41" i="5"/>
  <c r="R40" i="5"/>
  <c r="T40" i="5"/>
  <c r="R39" i="5"/>
  <c r="T39" i="5"/>
  <c r="R38" i="5"/>
  <c r="T38" i="5"/>
  <c r="R37" i="5"/>
  <c r="T37" i="5"/>
  <c r="R36" i="5"/>
  <c r="T36" i="5"/>
  <c r="R35" i="5"/>
  <c r="T35" i="5"/>
  <c r="R34" i="5"/>
  <c r="T34" i="5"/>
  <c r="R33" i="5"/>
  <c r="T33" i="5"/>
  <c r="R32" i="5"/>
  <c r="T32" i="5"/>
  <c r="R31" i="5"/>
  <c r="T31" i="5"/>
  <c r="R30" i="5"/>
  <c r="T30" i="5"/>
  <c r="R29" i="5"/>
  <c r="T29" i="5"/>
  <c r="R28" i="5"/>
  <c r="T28" i="5"/>
  <c r="R27" i="5"/>
  <c r="T27" i="5"/>
  <c r="R26" i="5"/>
  <c r="T26" i="5"/>
  <c r="R25" i="5"/>
  <c r="T25" i="5"/>
  <c r="R24" i="5"/>
  <c r="T24" i="5"/>
  <c r="R23" i="5"/>
  <c r="T23" i="5"/>
  <c r="R22" i="5"/>
  <c r="T22" i="5"/>
  <c r="R21" i="5"/>
  <c r="T21" i="5"/>
  <c r="R20" i="5"/>
  <c r="T20" i="5"/>
  <c r="R19" i="5"/>
  <c r="T19" i="5"/>
  <c r="R18" i="5"/>
  <c r="T18" i="5"/>
  <c r="R17" i="5"/>
  <c r="T17" i="5"/>
  <c r="R16" i="5"/>
  <c r="T16" i="5"/>
  <c r="R15" i="5"/>
  <c r="T15" i="5"/>
  <c r="R14" i="5"/>
  <c r="T14" i="5"/>
  <c r="R13" i="5"/>
  <c r="T13" i="5"/>
  <c r="R12" i="5"/>
  <c r="T12" i="5"/>
  <c r="R11" i="5"/>
  <c r="T11" i="5"/>
  <c r="R10" i="5"/>
  <c r="T10" i="5"/>
  <c r="R9" i="5"/>
  <c r="T9" i="5"/>
  <c r="R8" i="5"/>
  <c r="T8" i="5"/>
  <c r="R7" i="5"/>
  <c r="T7" i="5"/>
  <c r="R6" i="5"/>
  <c r="T6" i="5"/>
  <c r="R5" i="5"/>
  <c r="T5" i="5"/>
  <c r="R4" i="5"/>
  <c r="T4" i="5"/>
  <c r="R3" i="5"/>
  <c r="T3" i="5"/>
  <c r="R82" i="6"/>
  <c r="T82" i="6"/>
  <c r="R81" i="6"/>
  <c r="T81" i="6"/>
  <c r="R80" i="6"/>
  <c r="T80" i="6"/>
  <c r="R79" i="6"/>
  <c r="T79" i="6"/>
  <c r="R78" i="6"/>
  <c r="T78" i="6"/>
  <c r="R77" i="6"/>
  <c r="T77" i="6"/>
  <c r="R76" i="6"/>
  <c r="T76" i="6"/>
  <c r="R75" i="6"/>
  <c r="T75" i="6"/>
  <c r="R74" i="6"/>
  <c r="T74" i="6"/>
  <c r="R73" i="6"/>
  <c r="T73" i="6"/>
  <c r="R72" i="6"/>
  <c r="T72" i="6"/>
  <c r="R71" i="6"/>
  <c r="T71" i="6"/>
  <c r="R70" i="6"/>
  <c r="T70" i="6"/>
  <c r="R69" i="6"/>
  <c r="T69" i="6"/>
  <c r="R68" i="6"/>
  <c r="T68" i="6"/>
  <c r="R67" i="6"/>
  <c r="T67" i="6"/>
  <c r="R66" i="6"/>
  <c r="T66" i="6"/>
  <c r="R65" i="6"/>
  <c r="T65" i="6"/>
  <c r="R64" i="6"/>
  <c r="T64" i="6"/>
  <c r="R63" i="6"/>
  <c r="T63" i="6"/>
  <c r="R62" i="6"/>
  <c r="T62" i="6"/>
  <c r="R61" i="6"/>
  <c r="T61" i="6"/>
  <c r="R60" i="6"/>
  <c r="T60" i="6"/>
  <c r="R59" i="6"/>
  <c r="T59" i="6"/>
  <c r="R58" i="6"/>
  <c r="T58" i="6"/>
  <c r="R57" i="6"/>
  <c r="T57" i="6"/>
  <c r="R56" i="6"/>
  <c r="T56" i="6"/>
  <c r="R55" i="6"/>
  <c r="T55" i="6"/>
  <c r="R54" i="6"/>
  <c r="T54" i="6"/>
  <c r="R53" i="6"/>
  <c r="T53" i="6"/>
  <c r="R52" i="6"/>
  <c r="T52" i="6"/>
  <c r="R51" i="6"/>
  <c r="T51" i="6"/>
  <c r="R50" i="6"/>
  <c r="T50" i="6"/>
  <c r="R49" i="6"/>
  <c r="T49" i="6"/>
  <c r="R48" i="6"/>
  <c r="T48" i="6"/>
  <c r="R47" i="6"/>
  <c r="T47" i="6"/>
  <c r="R46" i="6"/>
  <c r="T46" i="6"/>
  <c r="R45" i="6"/>
  <c r="T45" i="6"/>
  <c r="R44" i="6"/>
  <c r="T44" i="6"/>
  <c r="R43" i="6"/>
  <c r="T43" i="6"/>
  <c r="R42" i="6"/>
  <c r="T42" i="6"/>
  <c r="R41" i="6"/>
  <c r="T41" i="6"/>
  <c r="R40" i="6"/>
  <c r="T40" i="6"/>
  <c r="R39" i="6"/>
  <c r="T39" i="6"/>
  <c r="R38" i="6"/>
  <c r="T38" i="6"/>
  <c r="R37" i="6"/>
  <c r="T37" i="6"/>
  <c r="R36" i="6"/>
  <c r="T36" i="6"/>
  <c r="R35" i="6"/>
  <c r="T35" i="6"/>
  <c r="R34" i="6"/>
  <c r="T34" i="6"/>
  <c r="R33" i="6"/>
  <c r="T33" i="6"/>
  <c r="R32" i="6"/>
  <c r="T32" i="6"/>
  <c r="R31" i="6"/>
  <c r="T31" i="6"/>
  <c r="R30" i="6"/>
  <c r="T30" i="6"/>
  <c r="R29" i="6"/>
  <c r="T29" i="6"/>
  <c r="R28" i="6"/>
  <c r="T28" i="6"/>
  <c r="R27" i="6"/>
  <c r="T27" i="6"/>
  <c r="R26" i="6"/>
  <c r="T26" i="6"/>
  <c r="R25" i="6"/>
  <c r="T25" i="6"/>
  <c r="R24" i="6"/>
  <c r="T24" i="6"/>
  <c r="R23" i="6"/>
  <c r="T23" i="6"/>
  <c r="R22" i="6"/>
  <c r="T22" i="6"/>
  <c r="R21" i="6"/>
  <c r="T21" i="6"/>
  <c r="R20" i="6"/>
  <c r="T20" i="6"/>
  <c r="R19" i="6"/>
  <c r="T19" i="6"/>
  <c r="R18" i="6"/>
  <c r="T18" i="6"/>
  <c r="R17" i="6"/>
  <c r="T17" i="6"/>
  <c r="R16" i="6"/>
  <c r="T16" i="6"/>
  <c r="R15" i="6"/>
  <c r="T15" i="6"/>
  <c r="R14" i="6"/>
  <c r="T14" i="6"/>
  <c r="R13" i="6"/>
  <c r="T13" i="6"/>
  <c r="R12" i="6"/>
  <c r="T12" i="6"/>
  <c r="R11" i="6"/>
  <c r="T11" i="6"/>
  <c r="R10" i="6"/>
  <c r="T10" i="6"/>
  <c r="R9" i="6"/>
  <c r="T9" i="6"/>
  <c r="R8" i="6"/>
  <c r="T8" i="6"/>
  <c r="R7" i="6"/>
  <c r="T7" i="6"/>
  <c r="R6" i="6"/>
  <c r="T6" i="6"/>
  <c r="R5" i="6"/>
  <c r="T5" i="6"/>
  <c r="R4" i="6"/>
  <c r="T4" i="6"/>
  <c r="R3" i="6"/>
  <c r="T3" i="6"/>
  <c r="R82" i="9"/>
  <c r="T82" i="9"/>
  <c r="R81" i="9"/>
  <c r="T81" i="9"/>
  <c r="R80" i="9"/>
  <c r="T80" i="9"/>
  <c r="R79" i="9"/>
  <c r="T79" i="9"/>
  <c r="R78" i="9"/>
  <c r="T78" i="9"/>
  <c r="R77" i="9"/>
  <c r="T77" i="9"/>
  <c r="R76" i="9"/>
  <c r="T76" i="9"/>
  <c r="R75" i="9"/>
  <c r="T75" i="9"/>
  <c r="R74" i="9"/>
  <c r="T74" i="9"/>
  <c r="R73" i="9"/>
  <c r="T73" i="9"/>
  <c r="R72" i="9"/>
  <c r="T72" i="9"/>
  <c r="R71" i="9"/>
  <c r="T71" i="9"/>
  <c r="R70" i="9"/>
  <c r="T70" i="9"/>
  <c r="R69" i="9"/>
  <c r="T69" i="9"/>
  <c r="R68" i="9"/>
  <c r="T68" i="9"/>
  <c r="R67" i="9"/>
  <c r="T67" i="9"/>
  <c r="R66" i="9"/>
  <c r="T66" i="9"/>
  <c r="R65" i="9"/>
  <c r="T65" i="9"/>
  <c r="R64" i="9"/>
  <c r="T64" i="9"/>
  <c r="R63" i="9"/>
  <c r="T63" i="9"/>
  <c r="R62" i="9"/>
  <c r="T62" i="9"/>
  <c r="R61" i="9"/>
  <c r="T61" i="9"/>
  <c r="R60" i="9"/>
  <c r="T60" i="9"/>
  <c r="R59" i="9"/>
  <c r="T59" i="9"/>
  <c r="R58" i="9"/>
  <c r="T58" i="9"/>
  <c r="R57" i="9"/>
  <c r="T57" i="9"/>
  <c r="R56" i="9"/>
  <c r="T56" i="9"/>
  <c r="R55" i="9"/>
  <c r="T55" i="9"/>
  <c r="R54" i="9"/>
  <c r="T54" i="9"/>
  <c r="R53" i="9"/>
  <c r="T53" i="9"/>
  <c r="R52" i="9"/>
  <c r="T52" i="9"/>
  <c r="R51" i="9"/>
  <c r="T51" i="9"/>
  <c r="R50" i="9"/>
  <c r="T50" i="9"/>
  <c r="R49" i="9"/>
  <c r="T49" i="9"/>
  <c r="R48" i="9"/>
  <c r="T48" i="9"/>
  <c r="R47" i="9"/>
  <c r="T47" i="9"/>
  <c r="R46" i="9"/>
  <c r="T46" i="9"/>
  <c r="R45" i="9"/>
  <c r="T45" i="9"/>
  <c r="R44" i="9"/>
  <c r="T44" i="9"/>
  <c r="R43" i="9"/>
  <c r="T43" i="9"/>
  <c r="R42" i="9"/>
  <c r="T42" i="9"/>
  <c r="R41" i="9"/>
  <c r="T41" i="9"/>
  <c r="R40" i="9"/>
  <c r="T40" i="9"/>
  <c r="R39" i="9"/>
  <c r="T39" i="9"/>
  <c r="R38" i="9"/>
  <c r="T38" i="9"/>
  <c r="R37" i="9"/>
  <c r="T37" i="9"/>
  <c r="R36" i="9"/>
  <c r="T36" i="9"/>
  <c r="R35" i="9"/>
  <c r="T35" i="9"/>
  <c r="R34" i="9"/>
  <c r="T34" i="9"/>
  <c r="R33" i="9"/>
  <c r="T33" i="9"/>
  <c r="R32" i="9"/>
  <c r="T32" i="9"/>
  <c r="R31" i="9"/>
  <c r="T31" i="9"/>
  <c r="R30" i="9"/>
  <c r="T30" i="9"/>
  <c r="R29" i="9"/>
  <c r="T29" i="9"/>
  <c r="R28" i="9"/>
  <c r="T28" i="9"/>
  <c r="R27" i="9"/>
  <c r="T27" i="9"/>
  <c r="R26" i="9"/>
  <c r="T26" i="9"/>
  <c r="R25" i="9"/>
  <c r="T25" i="9"/>
  <c r="R24" i="9"/>
  <c r="T24" i="9"/>
  <c r="R23" i="9"/>
  <c r="T23" i="9"/>
  <c r="R22" i="9"/>
  <c r="T22" i="9"/>
  <c r="R21" i="9"/>
  <c r="T21" i="9"/>
  <c r="R20" i="9"/>
  <c r="T20" i="9"/>
  <c r="R19" i="9"/>
  <c r="T19" i="9"/>
  <c r="R18" i="9"/>
  <c r="T18" i="9"/>
  <c r="R17" i="9"/>
  <c r="T17" i="9"/>
  <c r="R16" i="9"/>
  <c r="T16" i="9"/>
  <c r="R15" i="9"/>
  <c r="T15" i="9"/>
  <c r="R14" i="9"/>
  <c r="T14" i="9"/>
  <c r="R13" i="9"/>
  <c r="T13" i="9"/>
  <c r="R12" i="9"/>
  <c r="T12" i="9"/>
  <c r="R11" i="9"/>
  <c r="T11" i="9"/>
  <c r="R10" i="9"/>
  <c r="T10" i="9"/>
  <c r="R9" i="9"/>
  <c r="T9" i="9"/>
  <c r="R8" i="9"/>
  <c r="T8" i="9"/>
  <c r="R7" i="9"/>
  <c r="T7" i="9"/>
  <c r="R6" i="9"/>
  <c r="T6" i="9"/>
  <c r="R5" i="9"/>
  <c r="T5" i="9"/>
  <c r="R4" i="9"/>
  <c r="T4" i="9"/>
  <c r="R3" i="9"/>
  <c r="T3" i="9"/>
  <c r="R82" i="10"/>
  <c r="T82" i="10"/>
  <c r="R81" i="10"/>
  <c r="T81" i="10"/>
  <c r="R80" i="10"/>
  <c r="T80" i="10"/>
  <c r="R79" i="10"/>
  <c r="T79" i="10"/>
  <c r="R78" i="10"/>
  <c r="T78" i="10"/>
  <c r="R77" i="10"/>
  <c r="T77" i="10"/>
  <c r="R76" i="10"/>
  <c r="T76" i="10"/>
  <c r="R75" i="10"/>
  <c r="T75" i="10"/>
  <c r="R74" i="10"/>
  <c r="T74" i="10"/>
  <c r="R73" i="10"/>
  <c r="T73" i="10"/>
  <c r="R72" i="10"/>
  <c r="T72" i="10"/>
  <c r="R71" i="10"/>
  <c r="T71" i="10"/>
  <c r="R70" i="10"/>
  <c r="T70" i="10"/>
  <c r="R69" i="10"/>
  <c r="T69" i="10"/>
  <c r="R68" i="10"/>
  <c r="T68" i="10"/>
  <c r="R67" i="10"/>
  <c r="T67" i="10"/>
  <c r="R66" i="10"/>
  <c r="T66" i="10"/>
  <c r="R65" i="10"/>
  <c r="T65" i="10"/>
  <c r="R64" i="10"/>
  <c r="T64" i="10"/>
  <c r="R63" i="10"/>
  <c r="T63" i="10"/>
  <c r="R62" i="10"/>
  <c r="T62" i="10"/>
  <c r="R61" i="10"/>
  <c r="T61" i="10"/>
  <c r="R60" i="10"/>
  <c r="T60" i="10"/>
  <c r="R59" i="10"/>
  <c r="T59" i="10"/>
  <c r="R58" i="10"/>
  <c r="T58" i="10"/>
  <c r="R57" i="10"/>
  <c r="T57" i="10"/>
  <c r="R56" i="10"/>
  <c r="T56" i="10"/>
  <c r="R55" i="10"/>
  <c r="T55" i="10"/>
  <c r="R54" i="10"/>
  <c r="T54" i="10"/>
  <c r="R53" i="10"/>
  <c r="T53" i="10"/>
  <c r="R52" i="10"/>
  <c r="T52" i="10"/>
  <c r="R51" i="10"/>
  <c r="T51" i="10"/>
  <c r="R50" i="10"/>
  <c r="T50" i="10"/>
  <c r="R49" i="10"/>
  <c r="T49" i="10"/>
  <c r="R48" i="10"/>
  <c r="T48" i="10"/>
  <c r="R47" i="10"/>
  <c r="T47" i="10"/>
  <c r="R46" i="10"/>
  <c r="T46" i="10"/>
  <c r="R45" i="10"/>
  <c r="T45" i="10"/>
  <c r="R44" i="10"/>
  <c r="T44" i="10"/>
  <c r="R43" i="10"/>
  <c r="T43" i="10"/>
  <c r="R42" i="10"/>
  <c r="T42" i="10"/>
  <c r="R41" i="10"/>
  <c r="T41" i="10"/>
  <c r="R40" i="10"/>
  <c r="T40" i="10"/>
  <c r="R39" i="10"/>
  <c r="T39" i="10"/>
  <c r="R38" i="10"/>
  <c r="T38" i="10"/>
  <c r="R37" i="10"/>
  <c r="T37" i="10"/>
  <c r="R36" i="10"/>
  <c r="T36" i="10"/>
  <c r="R35" i="10"/>
  <c r="T35" i="10"/>
  <c r="R34" i="10"/>
  <c r="T34" i="10"/>
  <c r="R33" i="10"/>
  <c r="T33" i="10"/>
  <c r="R32" i="10"/>
  <c r="T32" i="10"/>
  <c r="R31" i="10"/>
  <c r="T31" i="10"/>
  <c r="R30" i="10"/>
  <c r="T30" i="10"/>
  <c r="R29" i="10"/>
  <c r="T29" i="10"/>
  <c r="R28" i="10"/>
  <c r="T28" i="10"/>
  <c r="R27" i="10"/>
  <c r="T27" i="10"/>
  <c r="R26" i="10"/>
  <c r="T26" i="10"/>
  <c r="R25" i="10"/>
  <c r="T25" i="10"/>
  <c r="R24" i="10"/>
  <c r="T24" i="10"/>
  <c r="R23" i="10"/>
  <c r="T23" i="10"/>
  <c r="R22" i="10"/>
  <c r="T22" i="10"/>
  <c r="R21" i="10"/>
  <c r="T21" i="10"/>
  <c r="R20" i="10"/>
  <c r="T20" i="10"/>
  <c r="R19" i="10"/>
  <c r="T19" i="10"/>
  <c r="R18" i="10"/>
  <c r="T18" i="10"/>
  <c r="R17" i="10"/>
  <c r="T17" i="10"/>
  <c r="R16" i="10"/>
  <c r="T16" i="10"/>
  <c r="R15" i="10"/>
  <c r="T15" i="10"/>
  <c r="R14" i="10"/>
  <c r="T14" i="10"/>
  <c r="R13" i="10"/>
  <c r="T13" i="10"/>
  <c r="R12" i="10"/>
  <c r="T12" i="10"/>
  <c r="R11" i="10"/>
  <c r="T11" i="10"/>
  <c r="R10" i="10"/>
  <c r="T10" i="10"/>
  <c r="R9" i="10"/>
  <c r="T9" i="10"/>
  <c r="R8" i="10"/>
  <c r="T8" i="10"/>
  <c r="R7" i="10"/>
  <c r="T7" i="10"/>
  <c r="R6" i="10"/>
  <c r="T6" i="10"/>
  <c r="R5" i="10"/>
  <c r="T5" i="10"/>
  <c r="R4" i="10"/>
  <c r="T4" i="10"/>
  <c r="R3" i="10"/>
  <c r="T3" i="10"/>
  <c r="X16" i="2"/>
  <c r="X17" i="2"/>
  <c r="X8" i="2"/>
  <c r="X7" i="2"/>
  <c r="X10" i="2"/>
  <c r="X25" i="2"/>
  <c r="X14" i="2"/>
  <c r="X36" i="2"/>
  <c r="X47" i="2"/>
  <c r="X77" i="2"/>
  <c r="X11" i="2"/>
  <c r="X13" i="2"/>
  <c r="U4" i="5"/>
  <c r="H4" i="5"/>
  <c r="H3" i="5"/>
  <c r="Y4" i="5"/>
  <c r="AA4" i="5"/>
  <c r="X9" i="2"/>
  <c r="X12" i="2"/>
  <c r="X19" i="2"/>
  <c r="U5" i="5"/>
  <c r="H5" i="5"/>
  <c r="H6" i="5"/>
  <c r="Y5" i="5"/>
  <c r="AA5" i="5"/>
  <c r="X15" i="2"/>
  <c r="X23" i="2"/>
  <c r="X56" i="2"/>
  <c r="U6" i="5"/>
  <c r="Y6" i="5"/>
  <c r="AA6" i="5"/>
  <c r="X20" i="2"/>
  <c r="X69" i="2"/>
  <c r="U7" i="5"/>
  <c r="H7" i="5"/>
  <c r="H8" i="5"/>
  <c r="Y7" i="5"/>
  <c r="AA7" i="5"/>
  <c r="X21" i="2"/>
  <c r="X40" i="2"/>
  <c r="U8" i="5"/>
  <c r="Y8" i="5"/>
  <c r="AA8" i="5"/>
  <c r="X34" i="2"/>
  <c r="X43" i="2"/>
  <c r="X86" i="2"/>
  <c r="U9" i="5"/>
  <c r="H9" i="5"/>
  <c r="H10" i="5"/>
  <c r="Y9" i="5"/>
  <c r="AA9" i="5"/>
  <c r="X30" i="2"/>
  <c r="U10" i="5"/>
  <c r="Y10" i="5"/>
  <c r="AA10" i="5"/>
  <c r="X27" i="2"/>
  <c r="U11" i="5"/>
  <c r="H11" i="5"/>
  <c r="H12" i="5"/>
  <c r="Y11" i="5"/>
  <c r="AA11" i="5"/>
  <c r="X18" i="2"/>
  <c r="X22" i="2"/>
  <c r="X67" i="2"/>
  <c r="U12" i="5"/>
  <c r="Y12" i="5"/>
  <c r="AA12" i="5"/>
  <c r="X31" i="2"/>
  <c r="U13" i="5"/>
  <c r="H13" i="5"/>
  <c r="H14" i="5"/>
  <c r="Y13" i="5"/>
  <c r="AA13" i="5"/>
  <c r="X51" i="2"/>
  <c r="U14" i="5"/>
  <c r="Y14" i="5"/>
  <c r="AA14" i="5"/>
  <c r="X83" i="2"/>
  <c r="U15" i="5"/>
  <c r="H15" i="5"/>
  <c r="H16" i="5"/>
  <c r="Y15" i="5"/>
  <c r="AA15" i="5"/>
  <c r="X49" i="2"/>
  <c r="X61" i="2"/>
  <c r="U16" i="5"/>
  <c r="Y16" i="5"/>
  <c r="AA16" i="5"/>
  <c r="X28" i="2"/>
  <c r="X42" i="2"/>
  <c r="U17" i="5"/>
  <c r="H17" i="5"/>
  <c r="H18" i="5"/>
  <c r="Y17" i="5"/>
  <c r="AA17" i="5"/>
  <c r="X24" i="2"/>
  <c r="X29" i="2"/>
  <c r="U18" i="5"/>
  <c r="Y18" i="5"/>
  <c r="AA18" i="5"/>
  <c r="X60" i="2"/>
  <c r="U19" i="5"/>
  <c r="H19" i="5"/>
  <c r="H20" i="5"/>
  <c r="Y19" i="5"/>
  <c r="AA19" i="5"/>
  <c r="X26" i="2"/>
  <c r="X32" i="2"/>
  <c r="X37" i="2"/>
  <c r="X80" i="2"/>
  <c r="U20" i="5"/>
  <c r="Y20" i="5"/>
  <c r="AA20" i="5"/>
  <c r="X38" i="2"/>
  <c r="X64" i="2"/>
  <c r="U21" i="5"/>
  <c r="H21" i="5"/>
  <c r="H22" i="5"/>
  <c r="Y21" i="5"/>
  <c r="AA21" i="5"/>
  <c r="X54" i="2"/>
  <c r="X65" i="2"/>
  <c r="U22" i="5"/>
  <c r="Y22" i="5"/>
  <c r="AA22" i="5"/>
  <c r="X33" i="2"/>
  <c r="X41" i="2"/>
  <c r="U23" i="5"/>
  <c r="H23" i="5"/>
  <c r="H24" i="5"/>
  <c r="Y23" i="5"/>
  <c r="AA23" i="5"/>
  <c r="X57" i="2"/>
  <c r="X74" i="2"/>
  <c r="U24" i="5"/>
  <c r="Y24" i="5"/>
  <c r="AA24" i="5"/>
  <c r="X45" i="2"/>
  <c r="U25" i="5"/>
  <c r="H25" i="5"/>
  <c r="H26" i="5"/>
  <c r="Y25" i="5"/>
  <c r="AA25" i="5"/>
  <c r="X46" i="2"/>
  <c r="U26" i="5"/>
  <c r="Y26" i="5"/>
  <c r="AA26" i="5"/>
  <c r="U27" i="5"/>
  <c r="H27" i="5"/>
  <c r="H28" i="5"/>
  <c r="Y27" i="5"/>
  <c r="AA27" i="5"/>
  <c r="U28" i="5"/>
  <c r="Y28" i="5"/>
  <c r="AA28" i="5"/>
  <c r="U29" i="5"/>
  <c r="H29" i="5"/>
  <c r="H30" i="5"/>
  <c r="Y29" i="5"/>
  <c r="AA29" i="5"/>
  <c r="X35" i="2"/>
  <c r="X39" i="2"/>
  <c r="X53" i="2"/>
  <c r="U30" i="5"/>
  <c r="Y30" i="5"/>
  <c r="AA30" i="5"/>
  <c r="X71" i="2"/>
  <c r="U31" i="5"/>
  <c r="H31" i="5"/>
  <c r="H32" i="5"/>
  <c r="Y31" i="5"/>
  <c r="AA31" i="5"/>
  <c r="U32" i="5"/>
  <c r="Y32" i="5"/>
  <c r="AA32" i="5"/>
  <c r="U33" i="5"/>
  <c r="H33" i="5"/>
  <c r="H34" i="5"/>
  <c r="Y33" i="5"/>
  <c r="AA33" i="5"/>
  <c r="U34" i="5"/>
  <c r="Y34" i="5"/>
  <c r="AA34" i="5"/>
  <c r="X50" i="2"/>
  <c r="X81" i="2"/>
  <c r="U35" i="5"/>
  <c r="H35" i="5"/>
  <c r="H36" i="5"/>
  <c r="Y35" i="5"/>
  <c r="AA35" i="5"/>
  <c r="U36" i="5"/>
  <c r="Y36" i="5"/>
  <c r="AA36" i="5"/>
  <c r="U37" i="5"/>
  <c r="H37" i="5"/>
  <c r="H38" i="5"/>
  <c r="Y37" i="5"/>
  <c r="AA37" i="5"/>
  <c r="X44" i="2"/>
  <c r="X58" i="2"/>
  <c r="U38" i="5"/>
  <c r="Y38" i="5"/>
  <c r="AA38" i="5"/>
  <c r="X59" i="2"/>
  <c r="U39" i="5"/>
  <c r="H39" i="5"/>
  <c r="H40" i="5"/>
  <c r="Y39" i="5"/>
  <c r="AA39" i="5"/>
  <c r="X52" i="2"/>
  <c r="U40" i="5"/>
  <c r="Y40" i="5"/>
  <c r="AA40" i="5"/>
  <c r="X63" i="2"/>
  <c r="X75" i="2"/>
  <c r="U41" i="5"/>
  <c r="H41" i="5"/>
  <c r="H42" i="5"/>
  <c r="Y41" i="5"/>
  <c r="AA41" i="5"/>
  <c r="X76" i="2"/>
  <c r="U42" i="5"/>
  <c r="Y42" i="5"/>
  <c r="AA42" i="5"/>
  <c r="X66" i="2"/>
  <c r="U43" i="5"/>
  <c r="H43" i="5"/>
  <c r="H44" i="5"/>
  <c r="Y43" i="5"/>
  <c r="AA43" i="5"/>
  <c r="X48" i="2"/>
  <c r="U44" i="5"/>
  <c r="Y44" i="5"/>
  <c r="AA44" i="5"/>
  <c r="U45" i="5"/>
  <c r="H45" i="5"/>
  <c r="H46" i="5"/>
  <c r="Y45" i="5"/>
  <c r="AA45" i="5"/>
  <c r="U46" i="5"/>
  <c r="Y46" i="5"/>
  <c r="AA46" i="5"/>
  <c r="X72" i="2"/>
  <c r="U47" i="5"/>
  <c r="H47" i="5"/>
  <c r="H48" i="5"/>
  <c r="Y47" i="5"/>
  <c r="AA47" i="5"/>
  <c r="X55" i="2"/>
  <c r="X73" i="2"/>
  <c r="U48" i="5"/>
  <c r="Y48" i="5"/>
  <c r="AA48" i="5"/>
  <c r="X62" i="2"/>
  <c r="U49" i="5"/>
  <c r="H49" i="5"/>
  <c r="H50" i="5"/>
  <c r="Y49" i="5"/>
  <c r="AA49" i="5"/>
  <c r="U50" i="5"/>
  <c r="Y50" i="5"/>
  <c r="AA50" i="5"/>
  <c r="U51" i="5"/>
  <c r="H51" i="5"/>
  <c r="H52" i="5"/>
  <c r="Y51" i="5"/>
  <c r="AA51" i="5"/>
  <c r="U52" i="5"/>
  <c r="Y52" i="5"/>
  <c r="AA52" i="5"/>
  <c r="U53" i="5"/>
  <c r="H53" i="5"/>
  <c r="H54" i="5"/>
  <c r="Y53" i="5"/>
  <c r="AA53" i="5"/>
  <c r="X82" i="2"/>
  <c r="U54" i="5"/>
  <c r="Y54" i="5"/>
  <c r="AA54" i="5"/>
  <c r="U55" i="5"/>
  <c r="H55" i="5"/>
  <c r="H56" i="5"/>
  <c r="Y55" i="5"/>
  <c r="AA55" i="5"/>
  <c r="U56" i="5"/>
  <c r="Y56" i="5"/>
  <c r="AA56" i="5"/>
  <c r="U57" i="5"/>
  <c r="H57" i="5"/>
  <c r="H58" i="5"/>
  <c r="Y57" i="5"/>
  <c r="AA57" i="5"/>
  <c r="X79" i="2"/>
  <c r="U58" i="5"/>
  <c r="Y58" i="5"/>
  <c r="AA58" i="5"/>
  <c r="U59" i="5"/>
  <c r="H59" i="5"/>
  <c r="H60" i="5"/>
  <c r="Y59" i="5"/>
  <c r="AA59" i="5"/>
  <c r="X68" i="2"/>
  <c r="U60" i="5"/>
  <c r="Y60" i="5"/>
  <c r="AA60" i="5"/>
  <c r="U61" i="5"/>
  <c r="H61" i="5"/>
  <c r="H62" i="5"/>
  <c r="Y61" i="5"/>
  <c r="AA61" i="5"/>
  <c r="U62" i="5"/>
  <c r="Y62" i="5"/>
  <c r="AA62" i="5"/>
  <c r="U63" i="5"/>
  <c r="H63" i="5"/>
  <c r="H64" i="5"/>
  <c r="Y63" i="5"/>
  <c r="AA63" i="5"/>
  <c r="X70" i="2"/>
  <c r="U64" i="5"/>
  <c r="Y64" i="5"/>
  <c r="AA64" i="5"/>
  <c r="U65" i="5"/>
  <c r="H65" i="5"/>
  <c r="H66" i="5"/>
  <c r="Y65" i="5"/>
  <c r="AA65" i="5"/>
  <c r="U66" i="5"/>
  <c r="Y66" i="5"/>
  <c r="AA66" i="5"/>
  <c r="U67" i="5"/>
  <c r="H67" i="5"/>
  <c r="H68" i="5"/>
  <c r="Y67" i="5"/>
  <c r="AA67" i="5"/>
  <c r="U68" i="5"/>
  <c r="Y68" i="5"/>
  <c r="AA68" i="5"/>
  <c r="U69" i="5"/>
  <c r="H69" i="5"/>
  <c r="H70" i="5"/>
  <c r="Y69" i="5"/>
  <c r="AA69" i="5"/>
  <c r="U70" i="5"/>
  <c r="Y70" i="5"/>
  <c r="AA70" i="5"/>
  <c r="U71" i="5"/>
  <c r="H71" i="5"/>
  <c r="H72" i="5"/>
  <c r="Y71" i="5"/>
  <c r="AA71" i="5"/>
  <c r="U72" i="5"/>
  <c r="Y72" i="5"/>
  <c r="AA72" i="5"/>
  <c r="X84" i="2"/>
  <c r="U73" i="5"/>
  <c r="H73" i="5"/>
  <c r="H74" i="5"/>
  <c r="Y73" i="5"/>
  <c r="AA73" i="5"/>
  <c r="X78" i="2"/>
  <c r="U74" i="5"/>
  <c r="Y74" i="5"/>
  <c r="AA74" i="5"/>
  <c r="U75" i="5"/>
  <c r="H75" i="5"/>
  <c r="H76" i="5"/>
  <c r="Y75" i="5"/>
  <c r="AA75" i="5"/>
  <c r="U76" i="5"/>
  <c r="Y76" i="5"/>
  <c r="AA76" i="5"/>
  <c r="X85" i="2"/>
  <c r="U77" i="5"/>
  <c r="H77" i="5"/>
  <c r="H78" i="5"/>
  <c r="Y77" i="5"/>
  <c r="AA77" i="5"/>
  <c r="U78" i="5"/>
  <c r="Y78" i="5"/>
  <c r="AA78" i="5"/>
  <c r="U79" i="5"/>
  <c r="H79" i="5"/>
  <c r="H80" i="5"/>
  <c r="Y79" i="5"/>
  <c r="AA79" i="5"/>
  <c r="U80" i="5"/>
  <c r="Y80" i="5"/>
  <c r="AA80" i="5"/>
  <c r="U81" i="5"/>
  <c r="H81" i="5"/>
  <c r="H82" i="5"/>
  <c r="Y81" i="5"/>
  <c r="AA81" i="5"/>
  <c r="U82" i="5"/>
  <c r="Y82" i="5"/>
  <c r="AA82" i="5"/>
  <c r="U3" i="5"/>
  <c r="Y3" i="5"/>
  <c r="AA3" i="5"/>
  <c r="U4" i="6"/>
  <c r="Y12" i="2"/>
  <c r="Y21" i="2"/>
  <c r="Y8" i="2"/>
  <c r="Y7" i="2"/>
  <c r="Y10" i="2"/>
  <c r="Y25" i="2"/>
  <c r="Y14" i="2"/>
  <c r="Y36" i="2"/>
  <c r="Y47" i="2"/>
  <c r="Y77" i="2"/>
  <c r="Y11" i="2"/>
  <c r="Y13" i="2"/>
  <c r="V4" i="6"/>
  <c r="H4" i="6"/>
  <c r="H3" i="6"/>
  <c r="Y4" i="6"/>
  <c r="AA4" i="6"/>
  <c r="U5" i="6"/>
  <c r="Y9" i="2"/>
  <c r="Y19" i="2"/>
  <c r="V5" i="6"/>
  <c r="H5" i="6"/>
  <c r="H6" i="6"/>
  <c r="Y5" i="6"/>
  <c r="AA5" i="6"/>
  <c r="U6" i="6"/>
  <c r="Y20" i="2"/>
  <c r="Y15" i="2"/>
  <c r="Y17" i="2"/>
  <c r="Y23" i="2"/>
  <c r="Y56" i="2"/>
  <c r="V6" i="6"/>
  <c r="Y6" i="6"/>
  <c r="AA6" i="6"/>
  <c r="U7" i="6"/>
  <c r="Y22" i="2"/>
  <c r="Y69" i="2"/>
  <c r="V7" i="6"/>
  <c r="H7" i="6"/>
  <c r="H8" i="6"/>
  <c r="Y7" i="6"/>
  <c r="AA7" i="6"/>
  <c r="U8" i="6"/>
  <c r="Y40" i="2"/>
  <c r="V8" i="6"/>
  <c r="Y8" i="6"/>
  <c r="AA8" i="6"/>
  <c r="U9" i="6"/>
  <c r="Y16" i="2"/>
  <c r="Y34" i="2"/>
  <c r="Y43" i="2"/>
  <c r="Y86" i="2"/>
  <c r="V9" i="6"/>
  <c r="H9" i="6"/>
  <c r="H10" i="6"/>
  <c r="Y9" i="6"/>
  <c r="AA9" i="6"/>
  <c r="U10" i="6"/>
  <c r="Y30" i="2"/>
  <c r="V10" i="6"/>
  <c r="Y10" i="6"/>
  <c r="AA10" i="6"/>
  <c r="U11" i="6"/>
  <c r="Y27" i="2"/>
  <c r="V11" i="6"/>
  <c r="H11" i="6"/>
  <c r="H12" i="6"/>
  <c r="Y11" i="6"/>
  <c r="AA11" i="6"/>
  <c r="U12" i="6"/>
  <c r="Y18" i="2"/>
  <c r="Y67" i="2"/>
  <c r="V12" i="6"/>
  <c r="Y12" i="6"/>
  <c r="AA12" i="6"/>
  <c r="U13" i="6"/>
  <c r="Y31" i="2"/>
  <c r="V13" i="6"/>
  <c r="H13" i="6"/>
  <c r="H14" i="6"/>
  <c r="Y13" i="6"/>
  <c r="AA13" i="6"/>
  <c r="U14" i="6"/>
  <c r="Y51" i="2"/>
  <c r="V14" i="6"/>
  <c r="Y14" i="6"/>
  <c r="AA14" i="6"/>
  <c r="U15" i="6"/>
  <c r="Y83" i="2"/>
  <c r="V15" i="6"/>
  <c r="H15" i="6"/>
  <c r="H16" i="6"/>
  <c r="Y15" i="6"/>
  <c r="AA15" i="6"/>
  <c r="U16" i="6"/>
  <c r="Y49" i="2"/>
  <c r="Y61" i="2"/>
  <c r="V16" i="6"/>
  <c r="Y16" i="6"/>
  <c r="AA16" i="6"/>
  <c r="U17" i="6"/>
  <c r="Y28" i="2"/>
  <c r="Y42" i="2"/>
  <c r="V17" i="6"/>
  <c r="H17" i="6"/>
  <c r="H18" i="6"/>
  <c r="Y17" i="6"/>
  <c r="AA17" i="6"/>
  <c r="U18" i="6"/>
  <c r="Y24" i="2"/>
  <c r="Y29" i="2"/>
  <c r="V18" i="6"/>
  <c r="Y18" i="6"/>
  <c r="AA18" i="6"/>
  <c r="U19" i="6"/>
  <c r="Y60" i="2"/>
  <c r="V19" i="6"/>
  <c r="Y19" i="6"/>
  <c r="AA19" i="6"/>
  <c r="U20" i="6"/>
  <c r="Y26" i="2"/>
  <c r="Y32" i="2"/>
  <c r="Y37" i="2"/>
  <c r="Y80" i="2"/>
  <c r="V20" i="6"/>
  <c r="Y20" i="6"/>
  <c r="AA20" i="6"/>
  <c r="U21" i="6"/>
  <c r="Y38" i="2"/>
  <c r="Y64" i="2"/>
  <c r="V21" i="6"/>
  <c r="Y21" i="6"/>
  <c r="AA21" i="6"/>
  <c r="U22" i="6"/>
  <c r="Y54" i="2"/>
  <c r="Y65" i="2"/>
  <c r="V22" i="6"/>
  <c r="Y22" i="6"/>
  <c r="AA22" i="6"/>
  <c r="U23" i="6"/>
  <c r="Y33" i="2"/>
  <c r="Y41" i="2"/>
  <c r="V23" i="6"/>
  <c r="Y23" i="6"/>
  <c r="AA23" i="6"/>
  <c r="U24" i="6"/>
  <c r="Y57" i="2"/>
  <c r="Y74" i="2"/>
  <c r="V24" i="6"/>
  <c r="Y24" i="6"/>
  <c r="AA24" i="6"/>
  <c r="U25" i="6"/>
  <c r="Y45" i="2"/>
  <c r="V25" i="6"/>
  <c r="Y25" i="6"/>
  <c r="AA25" i="6"/>
  <c r="U26" i="6"/>
  <c r="Y46" i="2"/>
  <c r="V26" i="6"/>
  <c r="Y26" i="6"/>
  <c r="AA26" i="6"/>
  <c r="U27" i="6"/>
  <c r="V27" i="6"/>
  <c r="Y27" i="6"/>
  <c r="AA27" i="6"/>
  <c r="U28" i="6"/>
  <c r="V28" i="6"/>
  <c r="Y28" i="6"/>
  <c r="AA28" i="6"/>
  <c r="U29" i="6"/>
  <c r="V29" i="6"/>
  <c r="Y29" i="6"/>
  <c r="AA29" i="6"/>
  <c r="U30" i="6"/>
  <c r="Y35" i="2"/>
  <c r="Y39" i="2"/>
  <c r="Y53" i="2"/>
  <c r="V30" i="6"/>
  <c r="Y30" i="6"/>
  <c r="AA30" i="6"/>
  <c r="U31" i="6"/>
  <c r="Y71" i="2"/>
  <c r="V31" i="6"/>
  <c r="Y31" i="6"/>
  <c r="AA31" i="6"/>
  <c r="U32" i="6"/>
  <c r="V32" i="6"/>
  <c r="Y32" i="6"/>
  <c r="AA32" i="6"/>
  <c r="U33" i="6"/>
  <c r="V33" i="6"/>
  <c r="Y33" i="6"/>
  <c r="AA33" i="6"/>
  <c r="U34" i="6"/>
  <c r="V34" i="6"/>
  <c r="Y34" i="6"/>
  <c r="AA34" i="6"/>
  <c r="U35" i="6"/>
  <c r="Y50" i="2"/>
  <c r="Y81" i="2"/>
  <c r="V35" i="6"/>
  <c r="Y35" i="6"/>
  <c r="AA35" i="6"/>
  <c r="U36" i="6"/>
  <c r="V36" i="6"/>
  <c r="Y36" i="6"/>
  <c r="AA36" i="6"/>
  <c r="U37" i="6"/>
  <c r="V37" i="6"/>
  <c r="Y37" i="6"/>
  <c r="AA37" i="6"/>
  <c r="U38" i="6"/>
  <c r="Y44" i="2"/>
  <c r="Y58" i="2"/>
  <c r="V38" i="6"/>
  <c r="Y38" i="6"/>
  <c r="AA38" i="6"/>
  <c r="U39" i="6"/>
  <c r="Y59" i="2"/>
  <c r="V39" i="6"/>
  <c r="Y39" i="6"/>
  <c r="AA39" i="6"/>
  <c r="U40" i="6"/>
  <c r="Y52" i="2"/>
  <c r="V40" i="6"/>
  <c r="Y40" i="6"/>
  <c r="AA40" i="6"/>
  <c r="U41" i="6"/>
  <c r="Y63" i="2"/>
  <c r="Y75" i="2"/>
  <c r="V41" i="6"/>
  <c r="Y41" i="6"/>
  <c r="AA41" i="6"/>
  <c r="U42" i="6"/>
  <c r="Y76" i="2"/>
  <c r="V42" i="6"/>
  <c r="Y42" i="6"/>
  <c r="AA42" i="6"/>
  <c r="U43" i="6"/>
  <c r="Y66" i="2"/>
  <c r="V43" i="6"/>
  <c r="Y43" i="6"/>
  <c r="AA43" i="6"/>
  <c r="U44" i="6"/>
  <c r="Y48" i="2"/>
  <c r="V44" i="6"/>
  <c r="Y44" i="6"/>
  <c r="AA44" i="6"/>
  <c r="U45" i="6"/>
  <c r="V45" i="6"/>
  <c r="Y45" i="6"/>
  <c r="AA45" i="6"/>
  <c r="U46" i="6"/>
  <c r="V46" i="6"/>
  <c r="Y46" i="6"/>
  <c r="AA46" i="6"/>
  <c r="U47" i="6"/>
  <c r="Y72" i="2"/>
  <c r="V47" i="6"/>
  <c r="Y47" i="6"/>
  <c r="AA47" i="6"/>
  <c r="U48" i="6"/>
  <c r="Y55" i="2"/>
  <c r="Y73" i="2"/>
  <c r="V48" i="6"/>
  <c r="Y48" i="6"/>
  <c r="AA48" i="6"/>
  <c r="U49" i="6"/>
  <c r="Y62" i="2"/>
  <c r="V49" i="6"/>
  <c r="Y49" i="6"/>
  <c r="AA49" i="6"/>
  <c r="U50" i="6"/>
  <c r="V50" i="6"/>
  <c r="Y50" i="6"/>
  <c r="AA50" i="6"/>
  <c r="U51" i="6"/>
  <c r="V51" i="6"/>
  <c r="Y51" i="6"/>
  <c r="AA51" i="6"/>
  <c r="U52" i="6"/>
  <c r="V52" i="6"/>
  <c r="Y52" i="6"/>
  <c r="AA52" i="6"/>
  <c r="U53" i="6"/>
  <c r="V53" i="6"/>
  <c r="Y53" i="6"/>
  <c r="AA53" i="6"/>
  <c r="U54" i="6"/>
  <c r="Y82" i="2"/>
  <c r="V54" i="6"/>
  <c r="Y54" i="6"/>
  <c r="AA54" i="6"/>
  <c r="U55" i="6"/>
  <c r="V55" i="6"/>
  <c r="Y55" i="6"/>
  <c r="AA55" i="6"/>
  <c r="U56" i="6"/>
  <c r="V56" i="6"/>
  <c r="Y56" i="6"/>
  <c r="AA56" i="6"/>
  <c r="U57" i="6"/>
  <c r="V57" i="6"/>
  <c r="Y57" i="6"/>
  <c r="AA57" i="6"/>
  <c r="U58" i="6"/>
  <c r="Y79" i="2"/>
  <c r="V58" i="6"/>
  <c r="Y58" i="6"/>
  <c r="AA58" i="6"/>
  <c r="U59" i="6"/>
  <c r="V59" i="6"/>
  <c r="Y59" i="6"/>
  <c r="AA59" i="6"/>
  <c r="U60" i="6"/>
  <c r="Y68" i="2"/>
  <c r="V60" i="6"/>
  <c r="Y60" i="6"/>
  <c r="AA60" i="6"/>
  <c r="U61" i="6"/>
  <c r="V61" i="6"/>
  <c r="Y61" i="6"/>
  <c r="AA61" i="6"/>
  <c r="U62" i="6"/>
  <c r="V62" i="6"/>
  <c r="Y62" i="6"/>
  <c r="AA62" i="6"/>
  <c r="U63" i="6"/>
  <c r="V63" i="6"/>
  <c r="Y63" i="6"/>
  <c r="AA63" i="6"/>
  <c r="U64" i="6"/>
  <c r="Y70" i="2"/>
  <c r="V64" i="6"/>
  <c r="Y64" i="6"/>
  <c r="AA64" i="6"/>
  <c r="U65" i="6"/>
  <c r="V65" i="6"/>
  <c r="Y65" i="6"/>
  <c r="AA65" i="6"/>
  <c r="U66" i="6"/>
  <c r="V66" i="6"/>
  <c r="Y66" i="6"/>
  <c r="AA66" i="6"/>
  <c r="U67" i="6"/>
  <c r="V67" i="6"/>
  <c r="Y67" i="6"/>
  <c r="AA67" i="6"/>
  <c r="U68" i="6"/>
  <c r="V68" i="6"/>
  <c r="Y68" i="6"/>
  <c r="AA68" i="6"/>
  <c r="U69" i="6"/>
  <c r="V69" i="6"/>
  <c r="Y69" i="6"/>
  <c r="AA69" i="6"/>
  <c r="U70" i="6"/>
  <c r="V70" i="6"/>
  <c r="Y70" i="6"/>
  <c r="AA70" i="6"/>
  <c r="U71" i="6"/>
  <c r="V71" i="6"/>
  <c r="Y71" i="6"/>
  <c r="AA71" i="6"/>
  <c r="U72" i="6"/>
  <c r="V72" i="6"/>
  <c r="Y72" i="6"/>
  <c r="AA72" i="6"/>
  <c r="U73" i="6"/>
  <c r="Y84" i="2"/>
  <c r="V73" i="6"/>
  <c r="Y73" i="6"/>
  <c r="AA73" i="6"/>
  <c r="U74" i="6"/>
  <c r="Y78" i="2"/>
  <c r="V74" i="6"/>
  <c r="Y74" i="6"/>
  <c r="AA74" i="6"/>
  <c r="U75" i="6"/>
  <c r="V75" i="6"/>
  <c r="Y75" i="6"/>
  <c r="AA75" i="6"/>
  <c r="U76" i="6"/>
  <c r="V76" i="6"/>
  <c r="Y76" i="6"/>
  <c r="AA76" i="6"/>
  <c r="U77" i="6"/>
  <c r="Y85" i="2"/>
  <c r="V77" i="6"/>
  <c r="Y77" i="6"/>
  <c r="AA77" i="6"/>
  <c r="U78" i="6"/>
  <c r="V78" i="6"/>
  <c r="Y78" i="6"/>
  <c r="AA78" i="6"/>
  <c r="U79" i="6"/>
  <c r="V79" i="6"/>
  <c r="Y79" i="6"/>
  <c r="AA79" i="6"/>
  <c r="U80" i="6"/>
  <c r="V80" i="6"/>
  <c r="Y80" i="6"/>
  <c r="AA80" i="6"/>
  <c r="U81" i="6"/>
  <c r="V81" i="6"/>
  <c r="Y81" i="6"/>
  <c r="AA81" i="6"/>
  <c r="U82" i="6"/>
  <c r="V82" i="6"/>
  <c r="Y82" i="6"/>
  <c r="AA82" i="6"/>
  <c r="U3" i="6"/>
  <c r="V3" i="6"/>
  <c r="Y3" i="6"/>
  <c r="AA3" i="6"/>
  <c r="U4" i="9"/>
  <c r="V4" i="9"/>
  <c r="Z9" i="2"/>
  <c r="Z8" i="2"/>
  <c r="Z7" i="2"/>
  <c r="Z10" i="2"/>
  <c r="Z25" i="2"/>
  <c r="Z14" i="2"/>
  <c r="Z36" i="2"/>
  <c r="Z47" i="2"/>
  <c r="Z77" i="2"/>
  <c r="Z11" i="2"/>
  <c r="Z13" i="2"/>
  <c r="W4" i="9"/>
  <c r="H4" i="9"/>
  <c r="H3" i="9"/>
  <c r="Y4" i="9"/>
  <c r="AA4" i="9"/>
  <c r="U5" i="9"/>
  <c r="V5" i="9"/>
  <c r="Z12" i="2"/>
  <c r="Z19" i="2"/>
  <c r="W5" i="9"/>
  <c r="H5" i="9"/>
  <c r="H6" i="9"/>
  <c r="Y5" i="9"/>
  <c r="AA5" i="9"/>
  <c r="U6" i="9"/>
  <c r="V6" i="9"/>
  <c r="Z20" i="2"/>
  <c r="Z15" i="2"/>
  <c r="Z17" i="2"/>
  <c r="Z23" i="2"/>
  <c r="Z56" i="2"/>
  <c r="W6" i="9"/>
  <c r="Y6" i="9"/>
  <c r="AA6" i="9"/>
  <c r="U7" i="9"/>
  <c r="V7" i="9"/>
  <c r="Z22" i="2"/>
  <c r="Z69" i="2"/>
  <c r="W7" i="9"/>
  <c r="Y7" i="9"/>
  <c r="AA7" i="9"/>
  <c r="U8" i="9"/>
  <c r="V8" i="9"/>
  <c r="Z40" i="2"/>
  <c r="W8" i="9"/>
  <c r="Y8" i="9"/>
  <c r="AA8" i="9"/>
  <c r="U9" i="9"/>
  <c r="V9" i="9"/>
  <c r="Z21" i="2"/>
  <c r="Z16" i="2"/>
  <c r="Z34" i="2"/>
  <c r="Z43" i="2"/>
  <c r="Z86" i="2"/>
  <c r="W9" i="9"/>
  <c r="H9" i="9"/>
  <c r="H10" i="9"/>
  <c r="Y9" i="9"/>
  <c r="AA9" i="9"/>
  <c r="U10" i="9"/>
  <c r="V10" i="9"/>
  <c r="Z30" i="2"/>
  <c r="W10" i="9"/>
  <c r="Y10" i="9"/>
  <c r="AA10" i="9"/>
  <c r="U11" i="9"/>
  <c r="V11" i="9"/>
  <c r="Z18" i="2"/>
  <c r="Z27" i="2"/>
  <c r="W11" i="9"/>
  <c r="H11" i="9"/>
  <c r="H12" i="9"/>
  <c r="Y11" i="9"/>
  <c r="AA11" i="9"/>
  <c r="U12" i="9"/>
  <c r="V12" i="9"/>
  <c r="Z67" i="2"/>
  <c r="W12" i="9"/>
  <c r="Y12" i="9"/>
  <c r="AA12" i="9"/>
  <c r="U13" i="9"/>
  <c r="V13" i="9"/>
  <c r="Z31" i="2"/>
  <c r="W13" i="9"/>
  <c r="H13" i="9"/>
  <c r="H14" i="9"/>
  <c r="Y13" i="9"/>
  <c r="AA13" i="9"/>
  <c r="U14" i="9"/>
  <c r="V14" i="9"/>
  <c r="Z51" i="2"/>
  <c r="W14" i="9"/>
  <c r="Y14" i="9"/>
  <c r="AA14" i="9"/>
  <c r="U15" i="9"/>
  <c r="V15" i="9"/>
  <c r="Z83" i="2"/>
  <c r="W15" i="9"/>
  <c r="H15" i="9"/>
  <c r="H16" i="9"/>
  <c r="Y15" i="9"/>
  <c r="AA15" i="9"/>
  <c r="U16" i="9"/>
  <c r="V16" i="9"/>
  <c r="Z49" i="2"/>
  <c r="Z61" i="2"/>
  <c r="W16" i="9"/>
  <c r="Y16" i="9"/>
  <c r="AA16" i="9"/>
  <c r="U17" i="9"/>
  <c r="V17" i="9"/>
  <c r="Z28" i="2"/>
  <c r="Z42" i="2"/>
  <c r="W17" i="9"/>
  <c r="H17" i="9"/>
  <c r="H18" i="9"/>
  <c r="Y17" i="9"/>
  <c r="AA17" i="9"/>
  <c r="U18" i="9"/>
  <c r="V18" i="9"/>
  <c r="Z24" i="2"/>
  <c r="Z29" i="2"/>
  <c r="W18" i="9"/>
  <c r="Y18" i="9"/>
  <c r="AA18" i="9"/>
  <c r="U19" i="9"/>
  <c r="V19" i="9"/>
  <c r="Y19" i="9"/>
  <c r="Z60" i="2"/>
  <c r="AA19" i="9"/>
  <c r="U20" i="9"/>
  <c r="V20" i="9"/>
  <c r="Y20" i="9"/>
  <c r="Z26" i="2"/>
  <c r="Z32" i="2"/>
  <c r="Z37" i="2"/>
  <c r="Z80" i="2"/>
  <c r="AA20" i="9"/>
  <c r="U21" i="9"/>
  <c r="V21" i="9"/>
  <c r="Y21" i="9"/>
  <c r="Z38" i="2"/>
  <c r="Z64" i="2"/>
  <c r="AA21" i="9"/>
  <c r="U22" i="9"/>
  <c r="V22" i="9"/>
  <c r="Y22" i="9"/>
  <c r="Z54" i="2"/>
  <c r="Z65" i="2"/>
  <c r="AA22" i="9"/>
  <c r="U23" i="9"/>
  <c r="V23" i="9"/>
  <c r="Y23" i="9"/>
  <c r="Z33" i="2"/>
  <c r="Z41" i="2"/>
  <c r="AA23" i="9"/>
  <c r="U24" i="9"/>
  <c r="V24" i="9"/>
  <c r="Y24" i="9"/>
  <c r="Z57" i="2"/>
  <c r="Z74" i="2"/>
  <c r="AA24" i="9"/>
  <c r="U25" i="9"/>
  <c r="V25" i="9"/>
  <c r="Y25" i="9"/>
  <c r="Z45" i="2"/>
  <c r="AA25" i="9"/>
  <c r="U26" i="9"/>
  <c r="V26" i="9"/>
  <c r="Y26" i="9"/>
  <c r="Z46" i="2"/>
  <c r="AA26" i="9"/>
  <c r="U27" i="9"/>
  <c r="V27" i="9"/>
  <c r="Y27" i="9"/>
  <c r="AA27" i="9"/>
  <c r="U28" i="9"/>
  <c r="V28" i="9"/>
  <c r="Y28" i="9"/>
  <c r="AA28" i="9"/>
  <c r="U29" i="9"/>
  <c r="V29" i="9"/>
  <c r="Y29" i="9"/>
  <c r="AA29" i="9"/>
  <c r="U30" i="9"/>
  <c r="V30" i="9"/>
  <c r="Y30" i="9"/>
  <c r="Z35" i="2"/>
  <c r="Z39" i="2"/>
  <c r="Z53" i="2"/>
  <c r="AA30" i="9"/>
  <c r="U31" i="9"/>
  <c r="V31" i="9"/>
  <c r="Y31" i="9"/>
  <c r="Z71" i="2"/>
  <c r="AA31" i="9"/>
  <c r="U32" i="9"/>
  <c r="V32" i="9"/>
  <c r="Y32" i="9"/>
  <c r="AA32" i="9"/>
  <c r="U33" i="9"/>
  <c r="V33" i="9"/>
  <c r="Y33" i="9"/>
  <c r="AA33" i="9"/>
  <c r="U34" i="9"/>
  <c r="V34" i="9"/>
  <c r="Y34" i="9"/>
  <c r="AA34" i="9"/>
  <c r="U35" i="9"/>
  <c r="V35" i="9"/>
  <c r="Y35" i="9"/>
  <c r="Z50" i="2"/>
  <c r="Z81" i="2"/>
  <c r="AA35" i="9"/>
  <c r="U36" i="9"/>
  <c r="V36" i="9"/>
  <c r="Y36" i="9"/>
  <c r="AA36" i="9"/>
  <c r="U37" i="9"/>
  <c r="V37" i="9"/>
  <c r="Y37" i="9"/>
  <c r="AA37" i="9"/>
  <c r="U38" i="9"/>
  <c r="V38" i="9"/>
  <c r="Y38" i="9"/>
  <c r="Z44" i="2"/>
  <c r="Z58" i="2"/>
  <c r="AA38" i="9"/>
  <c r="U39" i="9"/>
  <c r="V39" i="9"/>
  <c r="Y39" i="9"/>
  <c r="Z59" i="2"/>
  <c r="AA39" i="9"/>
  <c r="U40" i="9"/>
  <c r="V40" i="9"/>
  <c r="Y40" i="9"/>
  <c r="Z52" i="2"/>
  <c r="AA40" i="9"/>
  <c r="U41" i="9"/>
  <c r="V41" i="9"/>
  <c r="Y41" i="9"/>
  <c r="Z63" i="2"/>
  <c r="Z75" i="2"/>
  <c r="AA41" i="9"/>
  <c r="U42" i="9"/>
  <c r="V42" i="9"/>
  <c r="Y42" i="9"/>
  <c r="Z76" i="2"/>
  <c r="AA42" i="9"/>
  <c r="U43" i="9"/>
  <c r="V43" i="9"/>
  <c r="Y43" i="9"/>
  <c r="Z66" i="2"/>
  <c r="AA43" i="9"/>
  <c r="U44" i="9"/>
  <c r="V44" i="9"/>
  <c r="Y44" i="9"/>
  <c r="Z48" i="2"/>
  <c r="AA44" i="9"/>
  <c r="U45" i="9"/>
  <c r="V45" i="9"/>
  <c r="Y45" i="9"/>
  <c r="AA45" i="9"/>
  <c r="U46" i="9"/>
  <c r="V46" i="9"/>
  <c r="Y46" i="9"/>
  <c r="AA46" i="9"/>
  <c r="U47" i="9"/>
  <c r="V47" i="9"/>
  <c r="Y47" i="9"/>
  <c r="Z72" i="2"/>
  <c r="AA47" i="9"/>
  <c r="U48" i="9"/>
  <c r="V48" i="9"/>
  <c r="Y48" i="9"/>
  <c r="Z55" i="2"/>
  <c r="Z73" i="2"/>
  <c r="AA48" i="9"/>
  <c r="U49" i="9"/>
  <c r="V49" i="9"/>
  <c r="Y49" i="9"/>
  <c r="Z62" i="2"/>
  <c r="AA49" i="9"/>
  <c r="U50" i="9"/>
  <c r="V50" i="9"/>
  <c r="Y50" i="9"/>
  <c r="AA50" i="9"/>
  <c r="U51" i="9"/>
  <c r="V51" i="9"/>
  <c r="Y51" i="9"/>
  <c r="AA51" i="9"/>
  <c r="U52" i="9"/>
  <c r="V52" i="9"/>
  <c r="Y52" i="9"/>
  <c r="AA52" i="9"/>
  <c r="U53" i="9"/>
  <c r="V53" i="9"/>
  <c r="Y53" i="9"/>
  <c r="AA53" i="9"/>
  <c r="U54" i="9"/>
  <c r="V54" i="9"/>
  <c r="Y54" i="9"/>
  <c r="Z82" i="2"/>
  <c r="AA54" i="9"/>
  <c r="U55" i="9"/>
  <c r="V55" i="9"/>
  <c r="Y55" i="9"/>
  <c r="AA55" i="9"/>
  <c r="U56" i="9"/>
  <c r="V56" i="9"/>
  <c r="Y56" i="9"/>
  <c r="AA56" i="9"/>
  <c r="U57" i="9"/>
  <c r="V57" i="9"/>
  <c r="Y57" i="9"/>
  <c r="AA57" i="9"/>
  <c r="U58" i="9"/>
  <c r="V58" i="9"/>
  <c r="Y58" i="9"/>
  <c r="Z79" i="2"/>
  <c r="AA58" i="9"/>
  <c r="U59" i="9"/>
  <c r="V59" i="9"/>
  <c r="Y59" i="9"/>
  <c r="AA59" i="9"/>
  <c r="U60" i="9"/>
  <c r="V60" i="9"/>
  <c r="Y60" i="9"/>
  <c r="Z68" i="2"/>
  <c r="AA60" i="9"/>
  <c r="U61" i="9"/>
  <c r="V61" i="9"/>
  <c r="Y61" i="9"/>
  <c r="AA61" i="9"/>
  <c r="U62" i="9"/>
  <c r="V62" i="9"/>
  <c r="Y62" i="9"/>
  <c r="AA62" i="9"/>
  <c r="U63" i="9"/>
  <c r="V63" i="9"/>
  <c r="Y63" i="9"/>
  <c r="AA63" i="9"/>
  <c r="U64" i="9"/>
  <c r="V64" i="9"/>
  <c r="Y64" i="9"/>
  <c r="Z70" i="2"/>
  <c r="AA64" i="9"/>
  <c r="U65" i="9"/>
  <c r="V65" i="9"/>
  <c r="Y65" i="9"/>
  <c r="AA65" i="9"/>
  <c r="U66" i="9"/>
  <c r="V66" i="9"/>
  <c r="Y66" i="9"/>
  <c r="AA66" i="9"/>
  <c r="U67" i="9"/>
  <c r="V67" i="9"/>
  <c r="Y67" i="9"/>
  <c r="AA67" i="9"/>
  <c r="U68" i="9"/>
  <c r="V68" i="9"/>
  <c r="Y68" i="9"/>
  <c r="AA68" i="9"/>
  <c r="U69" i="9"/>
  <c r="V69" i="9"/>
  <c r="Y69" i="9"/>
  <c r="AA69" i="9"/>
  <c r="U70" i="9"/>
  <c r="V70" i="9"/>
  <c r="Y70" i="9"/>
  <c r="AA70" i="9"/>
  <c r="U71" i="9"/>
  <c r="V71" i="9"/>
  <c r="Y71" i="9"/>
  <c r="AA71" i="9"/>
  <c r="U72" i="9"/>
  <c r="V72" i="9"/>
  <c r="Y72" i="9"/>
  <c r="AA72" i="9"/>
  <c r="U73" i="9"/>
  <c r="V73" i="9"/>
  <c r="Y73" i="9"/>
  <c r="Z84" i="2"/>
  <c r="AA73" i="9"/>
  <c r="U74" i="9"/>
  <c r="V74" i="9"/>
  <c r="Y74" i="9"/>
  <c r="Z78" i="2"/>
  <c r="AA74" i="9"/>
  <c r="U75" i="9"/>
  <c r="V75" i="9"/>
  <c r="Y75" i="9"/>
  <c r="AA75" i="9"/>
  <c r="U76" i="9"/>
  <c r="V76" i="9"/>
  <c r="Y76" i="9"/>
  <c r="AA76" i="9"/>
  <c r="U77" i="9"/>
  <c r="V77" i="9"/>
  <c r="Y77" i="9"/>
  <c r="Z85" i="2"/>
  <c r="AA77" i="9"/>
  <c r="U78" i="9"/>
  <c r="V78" i="9"/>
  <c r="Y78" i="9"/>
  <c r="AA78" i="9"/>
  <c r="U79" i="9"/>
  <c r="V79" i="9"/>
  <c r="Y79" i="9"/>
  <c r="AA79" i="9"/>
  <c r="U80" i="9"/>
  <c r="V80" i="9"/>
  <c r="Y80" i="9"/>
  <c r="AA80" i="9"/>
  <c r="U81" i="9"/>
  <c r="V81" i="9"/>
  <c r="Y81" i="9"/>
  <c r="AA81" i="9"/>
  <c r="U82" i="9"/>
  <c r="V82" i="9"/>
  <c r="Y82" i="9"/>
  <c r="AA82" i="9"/>
  <c r="U3" i="9"/>
  <c r="V3" i="9"/>
  <c r="W3" i="9"/>
  <c r="Y3" i="9"/>
  <c r="AA3" i="9"/>
  <c r="U3" i="10"/>
  <c r="V3" i="10"/>
  <c r="W3" i="10"/>
  <c r="AA16" i="2"/>
  <c r="AA17" i="2"/>
  <c r="AA7" i="2"/>
  <c r="AA10" i="2"/>
  <c r="AA14" i="2"/>
  <c r="AA47" i="2"/>
  <c r="AA9" i="2"/>
  <c r="AA8" i="2"/>
  <c r="X3" i="10"/>
  <c r="H3" i="10"/>
  <c r="H4" i="10"/>
  <c r="Y3" i="10"/>
  <c r="AA3" i="10"/>
  <c r="U4" i="10"/>
  <c r="V4" i="10"/>
  <c r="W4" i="10"/>
  <c r="AA11" i="2"/>
  <c r="AA12" i="2"/>
  <c r="AA25" i="2"/>
  <c r="AA36" i="2"/>
  <c r="AA77" i="2"/>
  <c r="AA13" i="2"/>
  <c r="X4" i="10"/>
  <c r="Y4" i="10"/>
  <c r="AA4" i="10"/>
  <c r="U5" i="10"/>
  <c r="V5" i="10"/>
  <c r="W5" i="10"/>
  <c r="AA19" i="2"/>
  <c r="X5" i="10"/>
  <c r="H5" i="10"/>
  <c r="H6" i="10"/>
  <c r="Y5" i="10"/>
  <c r="AA5" i="10"/>
  <c r="U6" i="10"/>
  <c r="V6" i="10"/>
  <c r="W6" i="10"/>
  <c r="AA15" i="2"/>
  <c r="AA23" i="2"/>
  <c r="AA56" i="2"/>
  <c r="X6" i="10"/>
  <c r="Y6" i="10"/>
  <c r="AA6" i="10"/>
  <c r="U7" i="10"/>
  <c r="V7" i="10"/>
  <c r="W7" i="10"/>
  <c r="AA69" i="2"/>
  <c r="X7" i="10"/>
  <c r="H7" i="10"/>
  <c r="H8" i="10"/>
  <c r="Y7" i="10"/>
  <c r="AA7" i="10"/>
  <c r="U8" i="10"/>
  <c r="V8" i="10"/>
  <c r="W8" i="10"/>
  <c r="AA18" i="2"/>
  <c r="AA40" i="2"/>
  <c r="X8" i="10"/>
  <c r="Y8" i="10"/>
  <c r="AA8" i="10"/>
  <c r="U9" i="10"/>
  <c r="V9" i="10"/>
  <c r="W9" i="10"/>
  <c r="AA22" i="2"/>
  <c r="AA34" i="2"/>
  <c r="AA43" i="2"/>
  <c r="AA86" i="2"/>
  <c r="X9" i="10"/>
  <c r="H9" i="10"/>
  <c r="H10" i="10"/>
  <c r="Y9" i="10"/>
  <c r="AA9" i="10"/>
  <c r="U10" i="10"/>
  <c r="V10" i="10"/>
  <c r="W10" i="10"/>
  <c r="AA20" i="2"/>
  <c r="AA30" i="2"/>
  <c r="X10" i="10"/>
  <c r="Y10" i="10"/>
  <c r="AA10" i="10"/>
  <c r="U11" i="10"/>
  <c r="V11" i="10"/>
  <c r="W11" i="10"/>
  <c r="AA21" i="2"/>
  <c r="AA27" i="2"/>
  <c r="X11" i="10"/>
  <c r="H11" i="10"/>
  <c r="H12" i="10"/>
  <c r="Y11" i="10"/>
  <c r="AA11" i="10"/>
  <c r="U12" i="10"/>
  <c r="V12" i="10"/>
  <c r="W12" i="10"/>
  <c r="AA67" i="2"/>
  <c r="X12" i="10"/>
  <c r="Y12" i="10"/>
  <c r="AA12" i="10"/>
  <c r="U13" i="10"/>
  <c r="V13" i="10"/>
  <c r="W13" i="10"/>
  <c r="AA31" i="2"/>
  <c r="X13" i="10"/>
  <c r="H13" i="10"/>
  <c r="H14" i="10"/>
  <c r="Y13" i="10"/>
  <c r="AA13" i="10"/>
  <c r="U14" i="10"/>
  <c r="V14" i="10"/>
  <c r="W14" i="10"/>
  <c r="AA51" i="2"/>
  <c r="X14" i="10"/>
  <c r="Y14" i="10"/>
  <c r="AA14" i="10"/>
  <c r="U15" i="10"/>
  <c r="V15" i="10"/>
  <c r="W15" i="10"/>
  <c r="AA83" i="2"/>
  <c r="X15" i="10"/>
  <c r="H15" i="10"/>
  <c r="H16" i="10"/>
  <c r="Y15" i="10"/>
  <c r="AA15" i="10"/>
  <c r="U16" i="10"/>
  <c r="V16" i="10"/>
  <c r="W16" i="10"/>
  <c r="AA49" i="2"/>
  <c r="AA61" i="2"/>
  <c r="X16" i="10"/>
  <c r="Y16" i="10"/>
  <c r="AA16" i="10"/>
  <c r="U17" i="10"/>
  <c r="V17" i="10"/>
  <c r="W17" i="10"/>
  <c r="AA28" i="2"/>
  <c r="AA42" i="2"/>
  <c r="X17" i="10"/>
  <c r="H17" i="10"/>
  <c r="H18" i="10"/>
  <c r="Y17" i="10"/>
  <c r="AA17" i="10"/>
  <c r="U18" i="10"/>
  <c r="V18" i="10"/>
  <c r="W18" i="10"/>
  <c r="AA24" i="2"/>
  <c r="AA29" i="2"/>
  <c r="X18" i="10"/>
  <c r="Y18" i="10"/>
  <c r="AA18" i="10"/>
  <c r="U19" i="10"/>
  <c r="V19" i="10"/>
  <c r="Y19" i="10"/>
  <c r="AA60" i="2"/>
  <c r="AA19" i="10"/>
  <c r="U20" i="10"/>
  <c r="V20" i="10"/>
  <c r="Y20" i="10"/>
  <c r="AA26" i="2"/>
  <c r="AA32" i="2"/>
  <c r="AA37" i="2"/>
  <c r="AA80" i="2"/>
  <c r="AA20" i="10"/>
  <c r="U21" i="10"/>
  <c r="V21" i="10"/>
  <c r="Y21" i="10"/>
  <c r="AA38" i="2"/>
  <c r="AA64" i="2"/>
  <c r="AA21" i="10"/>
  <c r="U22" i="10"/>
  <c r="V22" i="10"/>
  <c r="Y22" i="10"/>
  <c r="AA54" i="2"/>
  <c r="AA65" i="2"/>
  <c r="AA22" i="10"/>
  <c r="U23" i="10"/>
  <c r="V23" i="10"/>
  <c r="Y23" i="10"/>
  <c r="AA33" i="2"/>
  <c r="AA41" i="2"/>
  <c r="AA23" i="10"/>
  <c r="U24" i="10"/>
  <c r="V24" i="10"/>
  <c r="Y24" i="10"/>
  <c r="AA57" i="2"/>
  <c r="AA74" i="2"/>
  <c r="AA24" i="10"/>
  <c r="U25" i="10"/>
  <c r="V25" i="10"/>
  <c r="Y25" i="10"/>
  <c r="AA45" i="2"/>
  <c r="AA25" i="10"/>
  <c r="U26" i="10"/>
  <c r="V26" i="10"/>
  <c r="Y26" i="10"/>
  <c r="AA46" i="2"/>
  <c r="AA26" i="10"/>
  <c r="U27" i="10"/>
  <c r="V27" i="10"/>
  <c r="Y27" i="10"/>
  <c r="AA27" i="10"/>
  <c r="U28" i="10"/>
  <c r="V28" i="10"/>
  <c r="Y28" i="10"/>
  <c r="AA28" i="10"/>
  <c r="U29" i="10"/>
  <c r="V29" i="10"/>
  <c r="Y29" i="10"/>
  <c r="AA29" i="10"/>
  <c r="U30" i="10"/>
  <c r="V30" i="10"/>
  <c r="Y30" i="10"/>
  <c r="AA35" i="2"/>
  <c r="AA39" i="2"/>
  <c r="AA53" i="2"/>
  <c r="AA30" i="10"/>
  <c r="U31" i="10"/>
  <c r="V31" i="10"/>
  <c r="Y31" i="10"/>
  <c r="AA71" i="2"/>
  <c r="AA31" i="10"/>
  <c r="U32" i="10"/>
  <c r="V32" i="10"/>
  <c r="Y32" i="10"/>
  <c r="AA32" i="10"/>
  <c r="U33" i="10"/>
  <c r="V33" i="10"/>
  <c r="Y33" i="10"/>
  <c r="AA33" i="10"/>
  <c r="U34" i="10"/>
  <c r="V34" i="10"/>
  <c r="Y34" i="10"/>
  <c r="AA34" i="10"/>
  <c r="U35" i="10"/>
  <c r="V35" i="10"/>
  <c r="Y35" i="10"/>
  <c r="AA50" i="2"/>
  <c r="AA81" i="2"/>
  <c r="AA35" i="10"/>
  <c r="U36" i="10"/>
  <c r="V36" i="10"/>
  <c r="Y36" i="10"/>
  <c r="AA36" i="10"/>
  <c r="U37" i="10"/>
  <c r="V37" i="10"/>
  <c r="Y37" i="10"/>
  <c r="AA37" i="10"/>
  <c r="U38" i="10"/>
  <c r="V38" i="10"/>
  <c r="Y38" i="10"/>
  <c r="AA44" i="2"/>
  <c r="AA58" i="2"/>
  <c r="AA38" i="10"/>
  <c r="U39" i="10"/>
  <c r="V39" i="10"/>
  <c r="Y39" i="10"/>
  <c r="AA59" i="2"/>
  <c r="AA39" i="10"/>
  <c r="U40" i="10"/>
  <c r="V40" i="10"/>
  <c r="Y40" i="10"/>
  <c r="AA52" i="2"/>
  <c r="AA40" i="10"/>
  <c r="U41" i="10"/>
  <c r="V41" i="10"/>
  <c r="Y41" i="10"/>
  <c r="AA63" i="2"/>
  <c r="AA75" i="2"/>
  <c r="AA41" i="10"/>
  <c r="U42" i="10"/>
  <c r="V42" i="10"/>
  <c r="Y42" i="10"/>
  <c r="AA76" i="2"/>
  <c r="AA42" i="10"/>
  <c r="U43" i="10"/>
  <c r="V43" i="10"/>
  <c r="Y43" i="10"/>
  <c r="AA66" i="2"/>
  <c r="AA43" i="10"/>
  <c r="U44" i="10"/>
  <c r="V44" i="10"/>
  <c r="Y44" i="10"/>
  <c r="AA48" i="2"/>
  <c r="AA44" i="10"/>
  <c r="U45" i="10"/>
  <c r="V45" i="10"/>
  <c r="Y45" i="10"/>
  <c r="AA45" i="10"/>
  <c r="U46" i="10"/>
  <c r="V46" i="10"/>
  <c r="Y46" i="10"/>
  <c r="AA46" i="10"/>
  <c r="U47" i="10"/>
  <c r="V47" i="10"/>
  <c r="Y47" i="10"/>
  <c r="AA72" i="2"/>
  <c r="AA47" i="10"/>
  <c r="U48" i="10"/>
  <c r="V48" i="10"/>
  <c r="Y48" i="10"/>
  <c r="AA55" i="2"/>
  <c r="AA73" i="2"/>
  <c r="AA48" i="10"/>
  <c r="U49" i="10"/>
  <c r="V49" i="10"/>
  <c r="Y49" i="10"/>
  <c r="AA62" i="2"/>
  <c r="AA49" i="10"/>
  <c r="U50" i="10"/>
  <c r="V50" i="10"/>
  <c r="Y50" i="10"/>
  <c r="AA50" i="10"/>
  <c r="U51" i="10"/>
  <c r="V51" i="10"/>
  <c r="Y51" i="10"/>
  <c r="AA51" i="10"/>
  <c r="U52" i="10"/>
  <c r="V52" i="10"/>
  <c r="Y52" i="10"/>
  <c r="AA52" i="10"/>
  <c r="U53" i="10"/>
  <c r="V53" i="10"/>
  <c r="Y53" i="10"/>
  <c r="AA53" i="10"/>
  <c r="U54" i="10"/>
  <c r="V54" i="10"/>
  <c r="Y54" i="10"/>
  <c r="AA82" i="2"/>
  <c r="AA54" i="10"/>
  <c r="U55" i="10"/>
  <c r="V55" i="10"/>
  <c r="Y55" i="10"/>
  <c r="AA55" i="10"/>
  <c r="U56" i="10"/>
  <c r="V56" i="10"/>
  <c r="Y56" i="10"/>
  <c r="AA56" i="10"/>
  <c r="U57" i="10"/>
  <c r="V57" i="10"/>
  <c r="Y57" i="10"/>
  <c r="AA57" i="10"/>
  <c r="U58" i="10"/>
  <c r="V58" i="10"/>
  <c r="Y58" i="10"/>
  <c r="AA79" i="2"/>
  <c r="AA58" i="10"/>
  <c r="U59" i="10"/>
  <c r="V59" i="10"/>
  <c r="Y59" i="10"/>
  <c r="AA59" i="10"/>
  <c r="U60" i="10"/>
  <c r="V60" i="10"/>
  <c r="Y60" i="10"/>
  <c r="AA68" i="2"/>
  <c r="AA60" i="10"/>
  <c r="U61" i="10"/>
  <c r="V61" i="10"/>
  <c r="Y61" i="10"/>
  <c r="AA61" i="10"/>
  <c r="U62" i="10"/>
  <c r="V62" i="10"/>
  <c r="Y62" i="10"/>
  <c r="AA62" i="10"/>
  <c r="U63" i="10"/>
  <c r="V63" i="10"/>
  <c r="Y63" i="10"/>
  <c r="AA63" i="10"/>
  <c r="U64" i="10"/>
  <c r="V64" i="10"/>
  <c r="Y64" i="10"/>
  <c r="AA70" i="2"/>
  <c r="AA64" i="10"/>
  <c r="U65" i="10"/>
  <c r="V65" i="10"/>
  <c r="Y65" i="10"/>
  <c r="AA65" i="10"/>
  <c r="U66" i="10"/>
  <c r="V66" i="10"/>
  <c r="Y66" i="10"/>
  <c r="AA66" i="10"/>
  <c r="U67" i="10"/>
  <c r="V67" i="10"/>
  <c r="Y67" i="10"/>
  <c r="AA67" i="10"/>
  <c r="U68" i="10"/>
  <c r="V68" i="10"/>
  <c r="Y68" i="10"/>
  <c r="AA68" i="10"/>
  <c r="U69" i="10"/>
  <c r="V69" i="10"/>
  <c r="Y69" i="10"/>
  <c r="AA69" i="10"/>
  <c r="U70" i="10"/>
  <c r="V70" i="10"/>
  <c r="Y70" i="10"/>
  <c r="AA70" i="10"/>
  <c r="U71" i="10"/>
  <c r="V71" i="10"/>
  <c r="Y71" i="10"/>
  <c r="AA71" i="10"/>
  <c r="U72" i="10"/>
  <c r="V72" i="10"/>
  <c r="Y72" i="10"/>
  <c r="AA72" i="10"/>
  <c r="U73" i="10"/>
  <c r="V73" i="10"/>
  <c r="Y73" i="10"/>
  <c r="AA84" i="2"/>
  <c r="AA73" i="10"/>
  <c r="U74" i="10"/>
  <c r="V74" i="10"/>
  <c r="Y74" i="10"/>
  <c r="AA78" i="2"/>
  <c r="AA74" i="10"/>
  <c r="U75" i="10"/>
  <c r="V75" i="10"/>
  <c r="Y75" i="10"/>
  <c r="AA75" i="10"/>
  <c r="U76" i="10"/>
  <c r="V76" i="10"/>
  <c r="Y76" i="10"/>
  <c r="AA76" i="10"/>
  <c r="U77" i="10"/>
  <c r="V77" i="10"/>
  <c r="Y77" i="10"/>
  <c r="AA85" i="2"/>
  <c r="AA77" i="10"/>
  <c r="U78" i="10"/>
  <c r="V78" i="10"/>
  <c r="Y78" i="10"/>
  <c r="AA78" i="10"/>
  <c r="U79" i="10"/>
  <c r="V79" i="10"/>
  <c r="Y79" i="10"/>
  <c r="AA79" i="10"/>
  <c r="U80" i="10"/>
  <c r="V80" i="10"/>
  <c r="Y80" i="10"/>
  <c r="AA80" i="10"/>
  <c r="U81" i="10"/>
  <c r="V81" i="10"/>
  <c r="Y81" i="10"/>
  <c r="AA81" i="10"/>
  <c r="U82" i="10"/>
  <c r="V82" i="10"/>
  <c r="Y82" i="10"/>
  <c r="AA82" i="10"/>
  <c r="X82" i="9"/>
  <c r="W82" i="9"/>
  <c r="X81" i="9"/>
  <c r="W81" i="9"/>
  <c r="X80" i="9"/>
  <c r="W80" i="9"/>
  <c r="X79" i="9"/>
  <c r="W79" i="9"/>
  <c r="X78" i="9"/>
  <c r="W78" i="9"/>
  <c r="X77" i="9"/>
  <c r="W77" i="9"/>
  <c r="X76" i="9"/>
  <c r="W76" i="9"/>
  <c r="X75" i="9"/>
  <c r="W75" i="9"/>
  <c r="X74" i="9"/>
  <c r="W74" i="9"/>
  <c r="X73" i="9"/>
  <c r="W73" i="9"/>
  <c r="X72" i="9"/>
  <c r="W72" i="9"/>
  <c r="X71" i="9"/>
  <c r="W71" i="9"/>
  <c r="X70" i="9"/>
  <c r="W70" i="9"/>
  <c r="X69" i="9"/>
  <c r="W69" i="9"/>
  <c r="X68" i="9"/>
  <c r="W68" i="9"/>
  <c r="X67" i="9"/>
  <c r="W67" i="9"/>
  <c r="X66" i="9"/>
  <c r="W66" i="9"/>
  <c r="X65" i="9"/>
  <c r="W65" i="9"/>
  <c r="X64" i="9"/>
  <c r="W64" i="9"/>
  <c r="X63" i="9"/>
  <c r="W63" i="9"/>
  <c r="X62" i="9"/>
  <c r="W62" i="9"/>
  <c r="X61" i="9"/>
  <c r="W61" i="9"/>
  <c r="X60" i="9"/>
  <c r="W60" i="9"/>
  <c r="X59" i="9"/>
  <c r="W59" i="9"/>
  <c r="X58" i="9"/>
  <c r="W58" i="9"/>
  <c r="X57" i="9"/>
  <c r="W57" i="9"/>
  <c r="X56" i="9"/>
  <c r="W56" i="9"/>
  <c r="X55" i="9"/>
  <c r="W55" i="9"/>
  <c r="X54" i="9"/>
  <c r="W54" i="9"/>
  <c r="X53" i="9"/>
  <c r="W53" i="9"/>
  <c r="X52" i="9"/>
  <c r="W52" i="9"/>
  <c r="X51" i="9"/>
  <c r="W51" i="9"/>
  <c r="X50" i="9"/>
  <c r="W50" i="9"/>
  <c r="X49" i="9"/>
  <c r="W49" i="9"/>
  <c r="X48" i="9"/>
  <c r="W48" i="9"/>
  <c r="X47" i="9"/>
  <c r="W47" i="9"/>
  <c r="X46" i="9"/>
  <c r="W46" i="9"/>
  <c r="X45" i="9"/>
  <c r="W45" i="9"/>
  <c r="X44" i="9"/>
  <c r="W44" i="9"/>
  <c r="X43" i="9"/>
  <c r="W43" i="9"/>
  <c r="X42" i="9"/>
  <c r="W42" i="9"/>
  <c r="X41" i="9"/>
  <c r="W41" i="9"/>
  <c r="X40" i="9"/>
  <c r="W40" i="9"/>
  <c r="X39" i="9"/>
  <c r="W39" i="9"/>
  <c r="X38" i="9"/>
  <c r="W38" i="9"/>
  <c r="X37" i="9"/>
  <c r="W37" i="9"/>
  <c r="X36" i="9"/>
  <c r="W36" i="9"/>
  <c r="X35" i="9"/>
  <c r="W35" i="9"/>
  <c r="X34" i="9"/>
  <c r="W34" i="9"/>
  <c r="X33" i="9"/>
  <c r="W33" i="9"/>
  <c r="X32" i="9"/>
  <c r="W32" i="9"/>
  <c r="X31" i="9"/>
  <c r="W31" i="9"/>
  <c r="X30" i="9"/>
  <c r="W30" i="9"/>
  <c r="X29" i="9"/>
  <c r="W29" i="9"/>
  <c r="X28" i="9"/>
  <c r="W28" i="9"/>
  <c r="X27" i="9"/>
  <c r="W27" i="9"/>
  <c r="X26" i="9"/>
  <c r="W26" i="9"/>
  <c r="X25" i="9"/>
  <c r="W25" i="9"/>
  <c r="X24" i="9"/>
  <c r="W24" i="9"/>
  <c r="X23" i="9"/>
  <c r="W23" i="9"/>
  <c r="X22" i="9"/>
  <c r="W22" i="9"/>
  <c r="X21" i="9"/>
  <c r="W21" i="9"/>
  <c r="X20" i="9"/>
  <c r="W20" i="9"/>
  <c r="X19" i="9"/>
  <c r="W19" i="9"/>
  <c r="X18" i="9"/>
  <c r="X17" i="9"/>
  <c r="X16" i="9"/>
  <c r="X15" i="9"/>
  <c r="X14" i="9"/>
  <c r="X13" i="9"/>
  <c r="X12" i="9"/>
  <c r="X11" i="9"/>
  <c r="X10" i="9"/>
  <c r="X9" i="9"/>
  <c r="X8" i="9"/>
  <c r="X7" i="9"/>
  <c r="X6" i="9"/>
  <c r="X5" i="9"/>
  <c r="X4" i="9"/>
  <c r="X3" i="9"/>
  <c r="X82" i="10"/>
  <c r="W82" i="10"/>
  <c r="X81" i="10"/>
  <c r="W81" i="10"/>
  <c r="X80" i="10"/>
  <c r="W80" i="10"/>
  <c r="X79" i="10"/>
  <c r="W79" i="10"/>
  <c r="X78" i="10"/>
  <c r="W78" i="10"/>
  <c r="X77" i="10"/>
  <c r="W77" i="10"/>
  <c r="X76" i="10"/>
  <c r="W76" i="10"/>
  <c r="X75" i="10"/>
  <c r="W75" i="10"/>
  <c r="X74" i="10"/>
  <c r="W74" i="10"/>
  <c r="X73" i="10"/>
  <c r="W73" i="10"/>
  <c r="X72" i="10"/>
  <c r="W72" i="10"/>
  <c r="X71" i="10"/>
  <c r="W71" i="10"/>
  <c r="X70" i="10"/>
  <c r="W70" i="10"/>
  <c r="X69" i="10"/>
  <c r="W69" i="10"/>
  <c r="X68" i="10"/>
  <c r="W68" i="10"/>
  <c r="X67" i="10"/>
  <c r="W67" i="10"/>
  <c r="X66" i="10"/>
  <c r="W66" i="10"/>
  <c r="X65" i="10"/>
  <c r="W65" i="10"/>
  <c r="X64" i="10"/>
  <c r="W64" i="10"/>
  <c r="X63" i="10"/>
  <c r="W63" i="10"/>
  <c r="X62" i="10"/>
  <c r="W62" i="10"/>
  <c r="X61" i="10"/>
  <c r="W61" i="10"/>
  <c r="X60" i="10"/>
  <c r="W60" i="10"/>
  <c r="X59" i="10"/>
  <c r="W59" i="10"/>
  <c r="X58" i="10"/>
  <c r="W58" i="10"/>
  <c r="X57" i="10"/>
  <c r="W57" i="10"/>
  <c r="X56" i="10"/>
  <c r="W56" i="10"/>
  <c r="X55" i="10"/>
  <c r="W55" i="10"/>
  <c r="X54" i="10"/>
  <c r="W54" i="10"/>
  <c r="X53" i="10"/>
  <c r="W53" i="10"/>
  <c r="X52" i="10"/>
  <c r="W52" i="10"/>
  <c r="X51" i="10"/>
  <c r="W51" i="10"/>
  <c r="X50" i="10"/>
  <c r="W50" i="10"/>
  <c r="X49" i="10"/>
  <c r="W49" i="10"/>
  <c r="X48" i="10"/>
  <c r="W48" i="10"/>
  <c r="X47" i="10"/>
  <c r="W47" i="10"/>
  <c r="X46" i="10"/>
  <c r="W46" i="10"/>
  <c r="X45" i="10"/>
  <c r="W45" i="10"/>
  <c r="X44" i="10"/>
  <c r="W44" i="10"/>
  <c r="X43" i="10"/>
  <c r="W43" i="10"/>
  <c r="X42" i="10"/>
  <c r="W42" i="10"/>
  <c r="X41" i="10"/>
  <c r="W41" i="10"/>
  <c r="X40" i="10"/>
  <c r="W40" i="10"/>
  <c r="X39" i="10"/>
  <c r="W39" i="10"/>
  <c r="X38" i="10"/>
  <c r="W38" i="10"/>
  <c r="X37" i="10"/>
  <c r="W37" i="10"/>
  <c r="X36" i="10"/>
  <c r="W36" i="10"/>
  <c r="X35" i="10"/>
  <c r="W35" i="10"/>
  <c r="X34" i="10"/>
  <c r="W34" i="10"/>
  <c r="X33" i="10"/>
  <c r="W33" i="10"/>
  <c r="X32" i="10"/>
  <c r="W32" i="10"/>
  <c r="X31" i="10"/>
  <c r="W31" i="10"/>
  <c r="X30" i="10"/>
  <c r="W30" i="10"/>
  <c r="X29" i="10"/>
  <c r="W29" i="10"/>
  <c r="X28" i="10"/>
  <c r="W28" i="10"/>
  <c r="X27" i="10"/>
  <c r="W27" i="10"/>
  <c r="X26" i="10"/>
  <c r="W26" i="10"/>
  <c r="X25" i="10"/>
  <c r="W25" i="10"/>
  <c r="X24" i="10"/>
  <c r="W24" i="10"/>
  <c r="X23" i="10"/>
  <c r="W23" i="10"/>
  <c r="X22" i="10"/>
  <c r="W22" i="10"/>
  <c r="X21" i="10"/>
  <c r="W21" i="10"/>
  <c r="X20" i="10"/>
  <c r="W20" i="10"/>
  <c r="X19" i="10"/>
  <c r="W19" i="10"/>
  <c r="X82" i="6"/>
  <c r="W82" i="6"/>
  <c r="X81" i="6"/>
  <c r="W81" i="6"/>
  <c r="X80" i="6"/>
  <c r="W80" i="6"/>
  <c r="X79" i="6"/>
  <c r="W79" i="6"/>
  <c r="X78" i="6"/>
  <c r="W78" i="6"/>
  <c r="X77" i="6"/>
  <c r="W77" i="6"/>
  <c r="X76" i="6"/>
  <c r="W76" i="6"/>
  <c r="X75" i="6"/>
  <c r="W75" i="6"/>
  <c r="X74" i="6"/>
  <c r="W74" i="6"/>
  <c r="X73" i="6"/>
  <c r="W73" i="6"/>
  <c r="X72" i="6"/>
  <c r="W72" i="6"/>
  <c r="X71" i="6"/>
  <c r="W71" i="6"/>
  <c r="X70" i="6"/>
  <c r="W70" i="6"/>
  <c r="X69" i="6"/>
  <c r="W69" i="6"/>
  <c r="X68" i="6"/>
  <c r="W68" i="6"/>
  <c r="X67" i="6"/>
  <c r="W67" i="6"/>
  <c r="X66" i="6"/>
  <c r="W66" i="6"/>
  <c r="X65" i="6"/>
  <c r="W65" i="6"/>
  <c r="X64" i="6"/>
  <c r="W64" i="6"/>
  <c r="X63" i="6"/>
  <c r="W63" i="6"/>
  <c r="X62" i="6"/>
  <c r="W62" i="6"/>
  <c r="X61" i="6"/>
  <c r="W61" i="6"/>
  <c r="X60" i="6"/>
  <c r="W60" i="6"/>
  <c r="X59" i="6"/>
  <c r="W59" i="6"/>
  <c r="X58" i="6"/>
  <c r="W58" i="6"/>
  <c r="X57" i="6"/>
  <c r="W57" i="6"/>
  <c r="X56" i="6"/>
  <c r="W56" i="6"/>
  <c r="X55" i="6"/>
  <c r="W55" i="6"/>
  <c r="X54" i="6"/>
  <c r="W54" i="6"/>
  <c r="X53" i="6"/>
  <c r="W53" i="6"/>
  <c r="X52" i="6"/>
  <c r="W52" i="6"/>
  <c r="X51" i="6"/>
  <c r="W51" i="6"/>
  <c r="X50" i="6"/>
  <c r="W50" i="6"/>
  <c r="X49" i="6"/>
  <c r="W49" i="6"/>
  <c r="X48" i="6"/>
  <c r="W48" i="6"/>
  <c r="X47" i="6"/>
  <c r="W47" i="6"/>
  <c r="X46" i="6"/>
  <c r="W46" i="6"/>
  <c r="X45" i="6"/>
  <c r="W45" i="6"/>
  <c r="X44" i="6"/>
  <c r="W44" i="6"/>
  <c r="X43" i="6"/>
  <c r="W43" i="6"/>
  <c r="X42" i="6"/>
  <c r="W42" i="6"/>
  <c r="X41" i="6"/>
  <c r="W41" i="6"/>
  <c r="X40" i="6"/>
  <c r="W40" i="6"/>
  <c r="X39" i="6"/>
  <c r="W39" i="6"/>
  <c r="X38" i="6"/>
  <c r="W38" i="6"/>
  <c r="X37" i="6"/>
  <c r="W37" i="6"/>
  <c r="X36" i="6"/>
  <c r="W36" i="6"/>
  <c r="X35" i="6"/>
  <c r="W35" i="6"/>
  <c r="X34" i="6"/>
  <c r="W34" i="6"/>
  <c r="X33" i="6"/>
  <c r="W33" i="6"/>
  <c r="X32" i="6"/>
  <c r="W32" i="6"/>
  <c r="X31" i="6"/>
  <c r="W31" i="6"/>
  <c r="X30" i="6"/>
  <c r="W30" i="6"/>
  <c r="X29" i="6"/>
  <c r="W29" i="6"/>
  <c r="X28" i="6"/>
  <c r="W28" i="6"/>
  <c r="X27" i="6"/>
  <c r="W27" i="6"/>
  <c r="X26" i="6"/>
  <c r="W26" i="6"/>
  <c r="X25" i="6"/>
  <c r="W25" i="6"/>
  <c r="X24" i="6"/>
  <c r="W24" i="6"/>
  <c r="X23" i="6"/>
  <c r="W23" i="6"/>
  <c r="X22" i="6"/>
  <c r="W22" i="6"/>
  <c r="X21" i="6"/>
  <c r="W21" i="6"/>
  <c r="X20" i="6"/>
  <c r="W20" i="6"/>
  <c r="X19" i="6"/>
  <c r="W19" i="6"/>
  <c r="X18" i="6"/>
  <c r="W18" i="6"/>
  <c r="X17" i="6"/>
  <c r="W17" i="6"/>
  <c r="X16" i="6"/>
  <c r="W16" i="6"/>
  <c r="X15" i="6"/>
  <c r="W15" i="6"/>
  <c r="X14" i="6"/>
  <c r="W14" i="6"/>
  <c r="X13" i="6"/>
  <c r="W13" i="6"/>
  <c r="X12" i="6"/>
  <c r="W12" i="6"/>
  <c r="X11" i="6"/>
  <c r="W11" i="6"/>
  <c r="X10" i="6"/>
  <c r="W10" i="6"/>
  <c r="X9" i="6"/>
  <c r="W9" i="6"/>
  <c r="X8" i="6"/>
  <c r="W8" i="6"/>
  <c r="X7" i="6"/>
  <c r="W7" i="6"/>
  <c r="X6" i="6"/>
  <c r="W6" i="6"/>
  <c r="X5" i="6"/>
  <c r="W5" i="6"/>
  <c r="X4" i="6"/>
  <c r="W4" i="6"/>
  <c r="X3" i="6"/>
  <c r="W3" i="6"/>
  <c r="X82" i="5"/>
  <c r="W82" i="5"/>
  <c r="V82" i="5"/>
  <c r="X81" i="5"/>
  <c r="W81" i="5"/>
  <c r="V81" i="5"/>
  <c r="X80" i="5"/>
  <c r="W80" i="5"/>
  <c r="V80" i="5"/>
  <c r="X79" i="5"/>
  <c r="W79" i="5"/>
  <c r="V79" i="5"/>
  <c r="X78" i="5"/>
  <c r="W78" i="5"/>
  <c r="V78" i="5"/>
  <c r="X77" i="5"/>
  <c r="W77" i="5"/>
  <c r="V77" i="5"/>
  <c r="X76" i="5"/>
  <c r="W76" i="5"/>
  <c r="V76" i="5"/>
  <c r="X75" i="5"/>
  <c r="W75" i="5"/>
  <c r="V75" i="5"/>
  <c r="X74" i="5"/>
  <c r="W74" i="5"/>
  <c r="V74" i="5"/>
  <c r="X73" i="5"/>
  <c r="W73" i="5"/>
  <c r="V73" i="5"/>
  <c r="X72" i="5"/>
  <c r="W72" i="5"/>
  <c r="V72" i="5"/>
  <c r="X71" i="5"/>
  <c r="W71" i="5"/>
  <c r="V71" i="5"/>
  <c r="X70" i="5"/>
  <c r="W70" i="5"/>
  <c r="V70" i="5"/>
  <c r="X69" i="5"/>
  <c r="W69" i="5"/>
  <c r="V69" i="5"/>
  <c r="X68" i="5"/>
  <c r="W68" i="5"/>
  <c r="V68" i="5"/>
  <c r="X67" i="5"/>
  <c r="W67" i="5"/>
  <c r="V67" i="5"/>
  <c r="X66" i="5"/>
  <c r="W66" i="5"/>
  <c r="V66" i="5"/>
  <c r="X65" i="5"/>
  <c r="W65" i="5"/>
  <c r="V65" i="5"/>
  <c r="X64" i="5"/>
  <c r="W64" i="5"/>
  <c r="V64" i="5"/>
  <c r="X63" i="5"/>
  <c r="W63" i="5"/>
  <c r="V63" i="5"/>
  <c r="X62" i="5"/>
  <c r="W62" i="5"/>
  <c r="V62" i="5"/>
  <c r="X61" i="5"/>
  <c r="W61" i="5"/>
  <c r="V61" i="5"/>
  <c r="X60" i="5"/>
  <c r="W60" i="5"/>
  <c r="V60" i="5"/>
  <c r="X59" i="5"/>
  <c r="W59" i="5"/>
  <c r="V59" i="5"/>
  <c r="X58" i="5"/>
  <c r="W58" i="5"/>
  <c r="V58" i="5"/>
  <c r="X57" i="5"/>
  <c r="W57" i="5"/>
  <c r="V57" i="5"/>
  <c r="X56" i="5"/>
  <c r="W56" i="5"/>
  <c r="V56" i="5"/>
  <c r="X55" i="5"/>
  <c r="W55" i="5"/>
  <c r="V55" i="5"/>
  <c r="X54" i="5"/>
  <c r="W54" i="5"/>
  <c r="V54" i="5"/>
  <c r="X53" i="5"/>
  <c r="W53" i="5"/>
  <c r="V53" i="5"/>
  <c r="X52" i="5"/>
  <c r="W52" i="5"/>
  <c r="V52" i="5"/>
  <c r="X51" i="5"/>
  <c r="W51" i="5"/>
  <c r="V51" i="5"/>
  <c r="X50" i="5"/>
  <c r="W50" i="5"/>
  <c r="V50" i="5"/>
  <c r="X49" i="5"/>
  <c r="W49" i="5"/>
  <c r="V49" i="5"/>
  <c r="X48" i="5"/>
  <c r="W48" i="5"/>
  <c r="V48" i="5"/>
  <c r="X47" i="5"/>
  <c r="W47" i="5"/>
  <c r="V47" i="5"/>
  <c r="X46" i="5"/>
  <c r="W46" i="5"/>
  <c r="V46" i="5"/>
  <c r="X45" i="5"/>
  <c r="W45" i="5"/>
  <c r="V45" i="5"/>
  <c r="X44" i="5"/>
  <c r="W44" i="5"/>
  <c r="V44" i="5"/>
  <c r="X43" i="5"/>
  <c r="W43" i="5"/>
  <c r="V43" i="5"/>
  <c r="X42" i="5"/>
  <c r="W42" i="5"/>
  <c r="V42" i="5"/>
  <c r="X41" i="5"/>
  <c r="W41" i="5"/>
  <c r="V41" i="5"/>
  <c r="X40" i="5"/>
  <c r="W40" i="5"/>
  <c r="V40" i="5"/>
  <c r="X39" i="5"/>
  <c r="W39" i="5"/>
  <c r="V39" i="5"/>
  <c r="X38" i="5"/>
  <c r="W38" i="5"/>
  <c r="V38" i="5"/>
  <c r="X37" i="5"/>
  <c r="W37" i="5"/>
  <c r="V37" i="5"/>
  <c r="X36" i="5"/>
  <c r="W36" i="5"/>
  <c r="V36" i="5"/>
  <c r="X35" i="5"/>
  <c r="W35" i="5"/>
  <c r="V35" i="5"/>
  <c r="X34" i="5"/>
  <c r="W34" i="5"/>
  <c r="V34" i="5"/>
  <c r="X33" i="5"/>
  <c r="W33" i="5"/>
  <c r="V33" i="5"/>
  <c r="X32" i="5"/>
  <c r="W32" i="5"/>
  <c r="V32" i="5"/>
  <c r="X31" i="5"/>
  <c r="W31" i="5"/>
  <c r="V31" i="5"/>
  <c r="X30" i="5"/>
  <c r="W30" i="5"/>
  <c r="V30" i="5"/>
  <c r="X29" i="5"/>
  <c r="W29" i="5"/>
  <c r="V29" i="5"/>
  <c r="X28" i="5"/>
  <c r="W28" i="5"/>
  <c r="V28" i="5"/>
  <c r="X27" i="5"/>
  <c r="W27" i="5"/>
  <c r="V27" i="5"/>
  <c r="X26" i="5"/>
  <c r="W26" i="5"/>
  <c r="V26" i="5"/>
  <c r="X25" i="5"/>
  <c r="W25" i="5"/>
  <c r="V25" i="5"/>
  <c r="X24" i="5"/>
  <c r="W24" i="5"/>
  <c r="V24" i="5"/>
  <c r="X23" i="5"/>
  <c r="W23" i="5"/>
  <c r="V23" i="5"/>
  <c r="X22" i="5"/>
  <c r="W22" i="5"/>
  <c r="V22" i="5"/>
  <c r="X21" i="5"/>
  <c r="W21" i="5"/>
  <c r="V21" i="5"/>
  <c r="X20" i="5"/>
  <c r="W20" i="5"/>
  <c r="V20" i="5"/>
  <c r="X19" i="5"/>
  <c r="W19" i="5"/>
  <c r="V19" i="5"/>
  <c r="X18" i="5"/>
  <c r="W18" i="5"/>
  <c r="V18" i="5"/>
  <c r="X17" i="5"/>
  <c r="W17" i="5"/>
  <c r="V17" i="5"/>
  <c r="X16" i="5"/>
  <c r="W16" i="5"/>
  <c r="V16" i="5"/>
  <c r="X15" i="5"/>
  <c r="W15" i="5"/>
  <c r="V15" i="5"/>
  <c r="X14" i="5"/>
  <c r="W14" i="5"/>
  <c r="V14" i="5"/>
  <c r="X13" i="5"/>
  <c r="W13" i="5"/>
  <c r="V13" i="5"/>
  <c r="X12" i="5"/>
  <c r="W12" i="5"/>
  <c r="V12" i="5"/>
  <c r="X11" i="5"/>
  <c r="W11" i="5"/>
  <c r="V11" i="5"/>
  <c r="X10" i="5"/>
  <c r="W10" i="5"/>
  <c r="V10" i="5"/>
  <c r="X9" i="5"/>
  <c r="W9" i="5"/>
  <c r="V9" i="5"/>
  <c r="X8" i="5"/>
  <c r="W8" i="5"/>
  <c r="V8" i="5"/>
  <c r="X7" i="5"/>
  <c r="W7" i="5"/>
  <c r="V7" i="5"/>
  <c r="X6" i="5"/>
  <c r="W6" i="5"/>
  <c r="V6" i="5"/>
  <c r="X5" i="5"/>
  <c r="W5" i="5"/>
  <c r="V5" i="5"/>
  <c r="X4" i="5"/>
  <c r="W4" i="5"/>
  <c r="V4" i="5"/>
  <c r="X3" i="5"/>
  <c r="W3" i="5"/>
  <c r="V3" i="5"/>
  <c r="H82" i="1"/>
  <c r="H81" i="1"/>
  <c r="Y82" i="1"/>
  <c r="X82" i="1"/>
  <c r="W82" i="1"/>
  <c r="V82" i="1"/>
  <c r="U82" i="1"/>
  <c r="Y81" i="1"/>
  <c r="X81" i="1"/>
  <c r="W81" i="1"/>
  <c r="V81" i="1"/>
  <c r="U81" i="1"/>
  <c r="H80" i="1"/>
  <c r="H79" i="1"/>
  <c r="Y80" i="1"/>
  <c r="X80" i="1"/>
  <c r="W80" i="1"/>
  <c r="V80" i="1"/>
  <c r="U80" i="1"/>
  <c r="Y79" i="1"/>
  <c r="X79" i="1"/>
  <c r="W79" i="1"/>
  <c r="V79" i="1"/>
  <c r="U79" i="1"/>
  <c r="H78" i="1"/>
  <c r="H77" i="1"/>
  <c r="Y78" i="1"/>
  <c r="X78" i="1"/>
  <c r="W78" i="1"/>
  <c r="V78" i="1"/>
  <c r="U78" i="1"/>
  <c r="Y77" i="1"/>
  <c r="X77" i="1"/>
  <c r="W77" i="1"/>
  <c r="V77" i="1"/>
  <c r="U77" i="1"/>
  <c r="H76" i="1"/>
  <c r="H75" i="1"/>
  <c r="Y76" i="1"/>
  <c r="X76" i="1"/>
  <c r="W76" i="1"/>
  <c r="V76" i="1"/>
  <c r="U76" i="1"/>
  <c r="Y75" i="1"/>
  <c r="X75" i="1"/>
  <c r="W75" i="1"/>
  <c r="V75" i="1"/>
  <c r="U75" i="1"/>
  <c r="H74" i="1"/>
  <c r="H73" i="1"/>
  <c r="Y74" i="1"/>
  <c r="X74" i="1"/>
  <c r="W74" i="1"/>
  <c r="V74" i="1"/>
  <c r="U74" i="1"/>
  <c r="Y73" i="1"/>
  <c r="X73" i="1"/>
  <c r="W73" i="1"/>
  <c r="V73" i="1"/>
  <c r="U73" i="1"/>
  <c r="H72" i="1"/>
  <c r="H71" i="1"/>
  <c r="Y72" i="1"/>
  <c r="X72" i="1"/>
  <c r="W72" i="1"/>
  <c r="V72" i="1"/>
  <c r="U72" i="1"/>
  <c r="Y71" i="1"/>
  <c r="X71" i="1"/>
  <c r="W71" i="1"/>
  <c r="V71" i="1"/>
  <c r="U71" i="1"/>
  <c r="H70" i="1"/>
  <c r="H69" i="1"/>
  <c r="Y70" i="1"/>
  <c r="X70" i="1"/>
  <c r="W70" i="1"/>
  <c r="V70" i="1"/>
  <c r="U70" i="1"/>
  <c r="Y69" i="1"/>
  <c r="X69" i="1"/>
  <c r="W69" i="1"/>
  <c r="V69" i="1"/>
  <c r="U69" i="1"/>
  <c r="H68" i="1"/>
  <c r="H67" i="1"/>
  <c r="Y68" i="1"/>
  <c r="X68" i="1"/>
  <c r="W68" i="1"/>
  <c r="V68" i="1"/>
  <c r="U68" i="1"/>
  <c r="Y67" i="1"/>
  <c r="X67" i="1"/>
  <c r="W67" i="1"/>
  <c r="V67" i="1"/>
  <c r="U67" i="1"/>
  <c r="H66" i="1"/>
  <c r="H65" i="1"/>
  <c r="Y66" i="1"/>
  <c r="X66" i="1"/>
  <c r="W66" i="1"/>
  <c r="V66" i="1"/>
  <c r="U66" i="1"/>
  <c r="Y65" i="1"/>
  <c r="X65" i="1"/>
  <c r="W65" i="1"/>
  <c r="V65" i="1"/>
  <c r="U65" i="1"/>
  <c r="H64" i="1"/>
  <c r="H63" i="1"/>
  <c r="Y64" i="1"/>
  <c r="X64" i="1"/>
  <c r="W64" i="1"/>
  <c r="V64" i="1"/>
  <c r="U64" i="1"/>
  <c r="Y63" i="1"/>
  <c r="X63" i="1"/>
  <c r="W63" i="1"/>
  <c r="V63" i="1"/>
  <c r="U63" i="1"/>
  <c r="H62" i="1"/>
  <c r="H61" i="1"/>
  <c r="Y62" i="1"/>
  <c r="X62" i="1"/>
  <c r="W62" i="1"/>
  <c r="V62" i="1"/>
  <c r="U62" i="1"/>
  <c r="Y61" i="1"/>
  <c r="X61" i="1"/>
  <c r="W61" i="1"/>
  <c r="V61" i="1"/>
  <c r="U61" i="1"/>
  <c r="H60" i="1"/>
  <c r="H59" i="1"/>
  <c r="Y60" i="1"/>
  <c r="X60" i="1"/>
  <c r="W60" i="1"/>
  <c r="V60" i="1"/>
  <c r="U60" i="1"/>
  <c r="Y59" i="1"/>
  <c r="X59" i="1"/>
  <c r="W59" i="1"/>
  <c r="V59" i="1"/>
  <c r="U59" i="1"/>
  <c r="H58" i="1"/>
  <c r="H57" i="1"/>
  <c r="Y58" i="1"/>
  <c r="X58" i="1"/>
  <c r="W58" i="1"/>
  <c r="V58" i="1"/>
  <c r="U58" i="1"/>
  <c r="Y57" i="1"/>
  <c r="X57" i="1"/>
  <c r="W57" i="1"/>
  <c r="V57" i="1"/>
  <c r="U57" i="1"/>
  <c r="H56" i="1"/>
  <c r="H55" i="1"/>
  <c r="Y56" i="1"/>
  <c r="X56" i="1"/>
  <c r="W56" i="1"/>
  <c r="V56" i="1"/>
  <c r="U56" i="1"/>
  <c r="Y55" i="1"/>
  <c r="X55" i="1"/>
  <c r="W55" i="1"/>
  <c r="V55" i="1"/>
  <c r="U55" i="1"/>
  <c r="H54" i="1"/>
  <c r="H53" i="1"/>
  <c r="Y54" i="1"/>
  <c r="X54" i="1"/>
  <c r="W54" i="1"/>
  <c r="V54" i="1"/>
  <c r="U54" i="1"/>
  <c r="Y53" i="1"/>
  <c r="X53" i="1"/>
  <c r="W53" i="1"/>
  <c r="V53" i="1"/>
  <c r="U53" i="1"/>
  <c r="H52" i="1"/>
  <c r="H51" i="1"/>
  <c r="Y52" i="1"/>
  <c r="X52" i="1"/>
  <c r="W52" i="1"/>
  <c r="V52" i="1"/>
  <c r="U52" i="1"/>
  <c r="Y51" i="1"/>
  <c r="X51" i="1"/>
  <c r="W51" i="1"/>
  <c r="V51" i="1"/>
  <c r="U51" i="1"/>
  <c r="H50" i="1"/>
  <c r="H49" i="1"/>
  <c r="Y50" i="1"/>
  <c r="X50" i="1"/>
  <c r="W50" i="1"/>
  <c r="V50" i="1"/>
  <c r="U50" i="1"/>
  <c r="Y49" i="1"/>
  <c r="X49" i="1"/>
  <c r="W49" i="1"/>
  <c r="V49" i="1"/>
  <c r="U49" i="1"/>
  <c r="H48" i="1"/>
  <c r="H47" i="1"/>
  <c r="Y48" i="1"/>
  <c r="X48" i="1"/>
  <c r="W48" i="1"/>
  <c r="V48" i="1"/>
  <c r="U48" i="1"/>
  <c r="Y47" i="1"/>
  <c r="X47" i="1"/>
  <c r="W47" i="1"/>
  <c r="V47" i="1"/>
  <c r="U47" i="1"/>
  <c r="H46" i="1"/>
  <c r="H45" i="1"/>
  <c r="Y46" i="1"/>
  <c r="X46" i="1"/>
  <c r="W46" i="1"/>
  <c r="V46" i="1"/>
  <c r="U46" i="1"/>
  <c r="Y45" i="1"/>
  <c r="X45" i="1"/>
  <c r="W45" i="1"/>
  <c r="V45" i="1"/>
  <c r="U45" i="1"/>
  <c r="H44" i="1"/>
  <c r="H43" i="1"/>
  <c r="Y44" i="1"/>
  <c r="X44" i="1"/>
  <c r="W44" i="1"/>
  <c r="V44" i="1"/>
  <c r="U44" i="1"/>
  <c r="Y43" i="1"/>
  <c r="X43" i="1"/>
  <c r="W43" i="1"/>
  <c r="V43" i="1"/>
  <c r="U43" i="1"/>
  <c r="H42" i="1"/>
  <c r="H41" i="1"/>
  <c r="Y42" i="1"/>
  <c r="X42" i="1"/>
  <c r="W42" i="1"/>
  <c r="V42" i="1"/>
  <c r="U42" i="1"/>
  <c r="Y41" i="1"/>
  <c r="X41" i="1"/>
  <c r="W41" i="1"/>
  <c r="V41" i="1"/>
  <c r="U41" i="1"/>
  <c r="H40" i="1"/>
  <c r="H39" i="1"/>
  <c r="Y40" i="1"/>
  <c r="X40" i="1"/>
  <c r="W40" i="1"/>
  <c r="V40" i="1"/>
  <c r="U40" i="1"/>
  <c r="Y39" i="1"/>
  <c r="X39" i="1"/>
  <c r="W39" i="1"/>
  <c r="V39" i="1"/>
  <c r="U39" i="1"/>
  <c r="H38" i="1"/>
  <c r="H37" i="1"/>
  <c r="Y38" i="1"/>
  <c r="X38" i="1"/>
  <c r="W38" i="1"/>
  <c r="V38" i="1"/>
  <c r="U38" i="1"/>
  <c r="Y37" i="1"/>
  <c r="X37" i="1"/>
  <c r="W37" i="1"/>
  <c r="V37" i="1"/>
  <c r="U37" i="1"/>
  <c r="H36" i="1"/>
  <c r="H35" i="1"/>
  <c r="Y36" i="1"/>
  <c r="X36" i="1"/>
  <c r="W36" i="1"/>
  <c r="V36" i="1"/>
  <c r="U36" i="1"/>
  <c r="Y35" i="1"/>
  <c r="X35" i="1"/>
  <c r="W35" i="1"/>
  <c r="V35" i="1"/>
  <c r="U35" i="1"/>
  <c r="H34" i="1"/>
  <c r="H33" i="1"/>
  <c r="Y34" i="1"/>
  <c r="X34" i="1"/>
  <c r="W34" i="1"/>
  <c r="V34" i="1"/>
  <c r="U34" i="1"/>
  <c r="Y33" i="1"/>
  <c r="X33" i="1"/>
  <c r="W33" i="1"/>
  <c r="V33" i="1"/>
  <c r="U33" i="1"/>
  <c r="H32" i="1"/>
  <c r="H31" i="1"/>
  <c r="Y32" i="1"/>
  <c r="X32" i="1"/>
  <c r="W32" i="1"/>
  <c r="V32" i="1"/>
  <c r="U32" i="1"/>
  <c r="Y31" i="1"/>
  <c r="X31" i="1"/>
  <c r="W31" i="1"/>
  <c r="V31" i="1"/>
  <c r="U31" i="1"/>
  <c r="H30" i="1"/>
  <c r="H29" i="1"/>
  <c r="Y30" i="1"/>
  <c r="X30" i="1"/>
  <c r="W30" i="1"/>
  <c r="V30" i="1"/>
  <c r="U30" i="1"/>
  <c r="Y29" i="1"/>
  <c r="X29" i="1"/>
  <c r="W29" i="1"/>
  <c r="V29" i="1"/>
  <c r="U29" i="1"/>
  <c r="H28" i="1"/>
  <c r="H27" i="1"/>
  <c r="Y28" i="1"/>
  <c r="X28" i="1"/>
  <c r="W28" i="1"/>
  <c r="V28" i="1"/>
  <c r="U28" i="1"/>
  <c r="Y27" i="1"/>
  <c r="X27" i="1"/>
  <c r="W27" i="1"/>
  <c r="V27" i="1"/>
  <c r="U27" i="1"/>
  <c r="H26" i="1"/>
  <c r="H25" i="1"/>
  <c r="Y26" i="1"/>
  <c r="X26" i="1"/>
  <c r="W26" i="1"/>
  <c r="V26" i="1"/>
  <c r="U26" i="1"/>
  <c r="Y25" i="1"/>
  <c r="X25" i="1"/>
  <c r="W25" i="1"/>
  <c r="V25" i="1"/>
  <c r="U25" i="1"/>
  <c r="H24" i="1"/>
  <c r="H23" i="1"/>
  <c r="Y24" i="1"/>
  <c r="X24" i="1"/>
  <c r="W24" i="1"/>
  <c r="V24" i="1"/>
  <c r="U24" i="1"/>
  <c r="Y23" i="1"/>
  <c r="X23" i="1"/>
  <c r="W23" i="1"/>
  <c r="V23" i="1"/>
  <c r="U23" i="1"/>
  <c r="H22" i="1"/>
  <c r="H21" i="1"/>
  <c r="Y22" i="1"/>
  <c r="X22" i="1"/>
  <c r="W22" i="1"/>
  <c r="V22" i="1"/>
  <c r="U22" i="1"/>
  <c r="Y21" i="1"/>
  <c r="X21" i="1"/>
  <c r="W21" i="1"/>
  <c r="V21" i="1"/>
  <c r="U21" i="1"/>
  <c r="H20" i="1"/>
  <c r="H19" i="1"/>
  <c r="Y20" i="1"/>
  <c r="X20" i="1"/>
  <c r="W20" i="1"/>
  <c r="V20" i="1"/>
  <c r="U20" i="1"/>
  <c r="Y19" i="1"/>
  <c r="X19" i="1"/>
  <c r="W19" i="1"/>
  <c r="V19" i="1"/>
  <c r="U19" i="1"/>
  <c r="H18" i="1"/>
  <c r="H17" i="1"/>
  <c r="Y18" i="1"/>
  <c r="X18" i="1"/>
  <c r="W18" i="1"/>
  <c r="V18" i="1"/>
  <c r="U18" i="1"/>
  <c r="Y17" i="1"/>
  <c r="X17" i="1"/>
  <c r="W17" i="1"/>
  <c r="V17" i="1"/>
  <c r="U17" i="1"/>
  <c r="H16" i="1"/>
  <c r="H15" i="1"/>
  <c r="Y16" i="1"/>
  <c r="X16" i="1"/>
  <c r="W16" i="1"/>
  <c r="V16" i="1"/>
  <c r="U16" i="1"/>
  <c r="Y15" i="1"/>
  <c r="X15" i="1"/>
  <c r="W15" i="1"/>
  <c r="V15" i="1"/>
  <c r="U15" i="1"/>
  <c r="H14" i="1"/>
  <c r="H13" i="1"/>
  <c r="Y14" i="1"/>
  <c r="X14" i="1"/>
  <c r="W14" i="1"/>
  <c r="V14" i="1"/>
  <c r="U14" i="1"/>
  <c r="Y13" i="1"/>
  <c r="X13" i="1"/>
  <c r="W13" i="1"/>
  <c r="V13" i="1"/>
  <c r="U13" i="1"/>
  <c r="H12" i="1"/>
  <c r="H11" i="1"/>
  <c r="Y12" i="1"/>
  <c r="X12" i="1"/>
  <c r="W12" i="1"/>
  <c r="V12" i="1"/>
  <c r="U12" i="1"/>
  <c r="Y11" i="1"/>
  <c r="X11" i="1"/>
  <c r="W11" i="1"/>
  <c r="V11" i="1"/>
  <c r="U11" i="1"/>
  <c r="H10" i="1"/>
  <c r="H9" i="1"/>
  <c r="Y10" i="1"/>
  <c r="X10" i="1"/>
  <c r="W10" i="1"/>
  <c r="V10" i="1"/>
  <c r="U10" i="1"/>
  <c r="Y9" i="1"/>
  <c r="X9" i="1"/>
  <c r="W9" i="1"/>
  <c r="V9" i="1"/>
  <c r="U9" i="1"/>
  <c r="H8" i="1"/>
  <c r="H7" i="1"/>
  <c r="Y8" i="1"/>
  <c r="X8" i="1"/>
  <c r="W8" i="1"/>
  <c r="V8" i="1"/>
  <c r="U8" i="1"/>
  <c r="Y7" i="1"/>
  <c r="X7" i="1"/>
  <c r="W7" i="1"/>
  <c r="V7" i="1"/>
  <c r="U7" i="1"/>
  <c r="H6" i="1"/>
  <c r="H5" i="1"/>
  <c r="Y6" i="1"/>
  <c r="X6" i="1"/>
  <c r="W6" i="1"/>
  <c r="V6" i="1"/>
  <c r="U6" i="1"/>
  <c r="Y5" i="1"/>
  <c r="X5" i="1"/>
  <c r="W5" i="1"/>
  <c r="V5" i="1"/>
  <c r="U5" i="1"/>
  <c r="H4" i="1"/>
  <c r="H3" i="1"/>
  <c r="Y4" i="1"/>
  <c r="X4" i="1"/>
  <c r="W4" i="1"/>
  <c r="V4" i="1"/>
  <c r="U4" i="1"/>
  <c r="Y3" i="1"/>
  <c r="X3" i="1"/>
  <c r="W3" i="1"/>
  <c r="V3" i="1"/>
  <c r="U3" i="1"/>
  <c r="AD11" i="2"/>
  <c r="AE11" i="2"/>
  <c r="AF11" i="2"/>
  <c r="AG11" i="2"/>
  <c r="AH11" i="2"/>
  <c r="AD12" i="2"/>
  <c r="AE12" i="2"/>
  <c r="AF12" i="2"/>
  <c r="AG12" i="2"/>
  <c r="AH12" i="2"/>
  <c r="AD13" i="2"/>
  <c r="AE13" i="2"/>
  <c r="AF13" i="2"/>
  <c r="AG13" i="2"/>
  <c r="AH13" i="2"/>
  <c r="AD14" i="2"/>
  <c r="AE14" i="2"/>
  <c r="AF14" i="2"/>
  <c r="AG14" i="2"/>
  <c r="AH14" i="2"/>
  <c r="AD15" i="2"/>
  <c r="AE15" i="2"/>
  <c r="AF15" i="2"/>
  <c r="AG15" i="2"/>
  <c r="AH15" i="2"/>
  <c r="AD16" i="2"/>
  <c r="AE16" i="2"/>
  <c r="AF16" i="2"/>
  <c r="AG16" i="2"/>
  <c r="AH16" i="2"/>
  <c r="AD17" i="2"/>
  <c r="AE17" i="2"/>
  <c r="AF17" i="2"/>
  <c r="AG17" i="2"/>
  <c r="AH17" i="2"/>
  <c r="AD18" i="2"/>
  <c r="AE18" i="2"/>
  <c r="AF18" i="2"/>
  <c r="AG18" i="2"/>
  <c r="AH18" i="2"/>
  <c r="AD19" i="2"/>
  <c r="AE19" i="2"/>
  <c r="AF19" i="2"/>
  <c r="AG19" i="2"/>
  <c r="AH19" i="2"/>
  <c r="AD20" i="2"/>
  <c r="AE20" i="2"/>
  <c r="AF20" i="2"/>
  <c r="AG20" i="2"/>
  <c r="AH20" i="2"/>
  <c r="AD21" i="2"/>
  <c r="AE21" i="2"/>
  <c r="AF21" i="2"/>
  <c r="AG21" i="2"/>
  <c r="AH21" i="2"/>
  <c r="AD22" i="2"/>
  <c r="AE22" i="2"/>
  <c r="AF22" i="2"/>
  <c r="AG22" i="2"/>
  <c r="AH22" i="2"/>
  <c r="AD23" i="2"/>
  <c r="AE23" i="2"/>
  <c r="AF23" i="2"/>
  <c r="AG23" i="2"/>
  <c r="AH23" i="2"/>
  <c r="AD24" i="2"/>
  <c r="AE24" i="2"/>
  <c r="AF24" i="2"/>
  <c r="AG24" i="2"/>
  <c r="AH24" i="2"/>
  <c r="AD25" i="2"/>
  <c r="AE25" i="2"/>
  <c r="AF25" i="2"/>
  <c r="AG25" i="2"/>
  <c r="AH25" i="2"/>
  <c r="AD26" i="2"/>
  <c r="AE26" i="2"/>
  <c r="AF26" i="2"/>
  <c r="AG26" i="2"/>
  <c r="AH26" i="2"/>
  <c r="AD27" i="2"/>
  <c r="AE27" i="2"/>
  <c r="AF27" i="2"/>
  <c r="AG27" i="2"/>
  <c r="AH27" i="2"/>
  <c r="AD28" i="2"/>
  <c r="AE28" i="2"/>
  <c r="AF28" i="2"/>
  <c r="AG28" i="2"/>
  <c r="AH28" i="2"/>
  <c r="AD29" i="2"/>
  <c r="AE29" i="2"/>
  <c r="AF29" i="2"/>
  <c r="AG29" i="2"/>
  <c r="AH29" i="2"/>
  <c r="AD30" i="2"/>
  <c r="AE30" i="2"/>
  <c r="AF30" i="2"/>
  <c r="AG30" i="2"/>
  <c r="AH30" i="2"/>
  <c r="AD31" i="2"/>
  <c r="AE31" i="2"/>
  <c r="AF31" i="2"/>
  <c r="AG31" i="2"/>
  <c r="AH31" i="2"/>
  <c r="AD32" i="2"/>
  <c r="AE32" i="2"/>
  <c r="AF32" i="2"/>
  <c r="AG32" i="2"/>
  <c r="AH32" i="2"/>
  <c r="AD33" i="2"/>
  <c r="AE33" i="2"/>
  <c r="AF33" i="2"/>
  <c r="AG33" i="2"/>
  <c r="AH33" i="2"/>
  <c r="AD34" i="2"/>
  <c r="AE34" i="2"/>
  <c r="AF34" i="2"/>
  <c r="AG34" i="2"/>
  <c r="AH34" i="2"/>
  <c r="AD35" i="2"/>
  <c r="AE35" i="2"/>
  <c r="AF35" i="2"/>
  <c r="AG35" i="2"/>
  <c r="AH35" i="2"/>
  <c r="AD36" i="2"/>
  <c r="AE36" i="2"/>
  <c r="AF36" i="2"/>
  <c r="AG36" i="2"/>
  <c r="AH36" i="2"/>
  <c r="AD37" i="2"/>
  <c r="AE37" i="2"/>
  <c r="AF37" i="2"/>
  <c r="AG37" i="2"/>
  <c r="AH37" i="2"/>
  <c r="AD38" i="2"/>
  <c r="AE38" i="2"/>
  <c r="AF38" i="2"/>
  <c r="AG38" i="2"/>
  <c r="AH38" i="2"/>
  <c r="AD39" i="2"/>
  <c r="AE39" i="2"/>
  <c r="AF39" i="2"/>
  <c r="AG39" i="2"/>
  <c r="AH39" i="2"/>
  <c r="AD40" i="2"/>
  <c r="AE40" i="2"/>
  <c r="AF40" i="2"/>
  <c r="AG40" i="2"/>
  <c r="AH40" i="2"/>
  <c r="AD41" i="2"/>
  <c r="AE41" i="2"/>
  <c r="AF41" i="2"/>
  <c r="AG41" i="2"/>
  <c r="AH41" i="2"/>
  <c r="AD42" i="2"/>
  <c r="AE42" i="2"/>
  <c r="AF42" i="2"/>
  <c r="AG42" i="2"/>
  <c r="AH42" i="2"/>
  <c r="AD43" i="2"/>
  <c r="AE43" i="2"/>
  <c r="AF43" i="2"/>
  <c r="AG43" i="2"/>
  <c r="AH43" i="2"/>
  <c r="AD44" i="2"/>
  <c r="AE44" i="2"/>
  <c r="AF44" i="2"/>
  <c r="AG44" i="2"/>
  <c r="AH44" i="2"/>
  <c r="AD45" i="2"/>
  <c r="AE45" i="2"/>
  <c r="AF45" i="2"/>
  <c r="AG45" i="2"/>
  <c r="AH45" i="2"/>
  <c r="AD46" i="2"/>
  <c r="AE46" i="2"/>
  <c r="AF46" i="2"/>
  <c r="AG46" i="2"/>
  <c r="AH46" i="2"/>
  <c r="AD47" i="2"/>
  <c r="AE47" i="2"/>
  <c r="AF47" i="2"/>
  <c r="AG47" i="2"/>
  <c r="AH47" i="2"/>
  <c r="AD48" i="2"/>
  <c r="AE48" i="2"/>
  <c r="AF48" i="2"/>
  <c r="AG48" i="2"/>
  <c r="AH48" i="2"/>
  <c r="AD49" i="2"/>
  <c r="AE49" i="2"/>
  <c r="AF49" i="2"/>
  <c r="AG49" i="2"/>
  <c r="AH49" i="2"/>
  <c r="AD50" i="2"/>
  <c r="AE50" i="2"/>
  <c r="AF50" i="2"/>
  <c r="AG50" i="2"/>
  <c r="AH50" i="2"/>
  <c r="AD51" i="2"/>
  <c r="AE51" i="2"/>
  <c r="AF51" i="2"/>
  <c r="AG51" i="2"/>
  <c r="AH51" i="2"/>
  <c r="AD52" i="2"/>
  <c r="AE52" i="2"/>
  <c r="AF52" i="2"/>
  <c r="AG52" i="2"/>
  <c r="AH52" i="2"/>
  <c r="AD53" i="2"/>
  <c r="AE53" i="2"/>
  <c r="AF53" i="2"/>
  <c r="AG53" i="2"/>
  <c r="AH53" i="2"/>
  <c r="AD54" i="2"/>
  <c r="AE54" i="2"/>
  <c r="AF54" i="2"/>
  <c r="AG54" i="2"/>
  <c r="AH54" i="2"/>
  <c r="AD55" i="2"/>
  <c r="AE55" i="2"/>
  <c r="AF55" i="2"/>
  <c r="AG55" i="2"/>
  <c r="AH55" i="2"/>
  <c r="AD56" i="2"/>
  <c r="AE56" i="2"/>
  <c r="AF56" i="2"/>
  <c r="AG56" i="2"/>
  <c r="AH56" i="2"/>
  <c r="AD57" i="2"/>
  <c r="AE57" i="2"/>
  <c r="AF57" i="2"/>
  <c r="AG57" i="2"/>
  <c r="AH57" i="2"/>
  <c r="AD58" i="2"/>
  <c r="AE58" i="2"/>
  <c r="AF58" i="2"/>
  <c r="AG58" i="2"/>
  <c r="AH58" i="2"/>
  <c r="AD59" i="2"/>
  <c r="AE59" i="2"/>
  <c r="AF59" i="2"/>
  <c r="AG59" i="2"/>
  <c r="AH59" i="2"/>
  <c r="AD60" i="2"/>
  <c r="AE60" i="2"/>
  <c r="AF60" i="2"/>
  <c r="AG60" i="2"/>
  <c r="AH60" i="2"/>
  <c r="AD61" i="2"/>
  <c r="AE61" i="2"/>
  <c r="AF61" i="2"/>
  <c r="AG61" i="2"/>
  <c r="AH61" i="2"/>
  <c r="AD62" i="2"/>
  <c r="AE62" i="2"/>
  <c r="AF62" i="2"/>
  <c r="AG62" i="2"/>
  <c r="AH62" i="2"/>
  <c r="AD63" i="2"/>
  <c r="AE63" i="2"/>
  <c r="AF63" i="2"/>
  <c r="AG63" i="2"/>
  <c r="AH63" i="2"/>
  <c r="AD64" i="2"/>
  <c r="AE64" i="2"/>
  <c r="AF64" i="2"/>
  <c r="AG64" i="2"/>
  <c r="AH64" i="2"/>
  <c r="AD65" i="2"/>
  <c r="AE65" i="2"/>
  <c r="AF65" i="2"/>
  <c r="AG65" i="2"/>
  <c r="AH65" i="2"/>
  <c r="AD66" i="2"/>
  <c r="AE66" i="2"/>
  <c r="AF66" i="2"/>
  <c r="AG66" i="2"/>
  <c r="AH66" i="2"/>
  <c r="AD67" i="2"/>
  <c r="AE67" i="2"/>
  <c r="AF67" i="2"/>
  <c r="AG67" i="2"/>
  <c r="AH67" i="2"/>
  <c r="AD68" i="2"/>
  <c r="AE68" i="2"/>
  <c r="AF68" i="2"/>
  <c r="AG68" i="2"/>
  <c r="AH68" i="2"/>
  <c r="AD69" i="2"/>
  <c r="AE69" i="2"/>
  <c r="AF69" i="2"/>
  <c r="AG69" i="2"/>
  <c r="AH69" i="2"/>
  <c r="AD70" i="2"/>
  <c r="AE70" i="2"/>
  <c r="AF70" i="2"/>
  <c r="AG70" i="2"/>
  <c r="AH70" i="2"/>
  <c r="AD71" i="2"/>
  <c r="AE71" i="2"/>
  <c r="AF71" i="2"/>
  <c r="AG71" i="2"/>
  <c r="AH71" i="2"/>
  <c r="AD72" i="2"/>
  <c r="AE72" i="2"/>
  <c r="AF72" i="2"/>
  <c r="AG72" i="2"/>
  <c r="AH72" i="2"/>
  <c r="AD73" i="2"/>
  <c r="AE73" i="2"/>
  <c r="AF73" i="2"/>
  <c r="AG73" i="2"/>
  <c r="AH73" i="2"/>
  <c r="AD74" i="2"/>
  <c r="AE74" i="2"/>
  <c r="AF74" i="2"/>
  <c r="AG74" i="2"/>
  <c r="AH74" i="2"/>
  <c r="AD75" i="2"/>
  <c r="AE75" i="2"/>
  <c r="AF75" i="2"/>
  <c r="AG75" i="2"/>
  <c r="AH75" i="2"/>
  <c r="AD76" i="2"/>
  <c r="AE76" i="2"/>
  <c r="AF76" i="2"/>
  <c r="AG76" i="2"/>
  <c r="AH76" i="2"/>
  <c r="AD77" i="2"/>
  <c r="AE77" i="2"/>
  <c r="AF77" i="2"/>
  <c r="AG77" i="2"/>
  <c r="AH77" i="2"/>
  <c r="AD78" i="2"/>
  <c r="AE78" i="2"/>
  <c r="AF78" i="2"/>
  <c r="AG78" i="2"/>
  <c r="AH78" i="2"/>
  <c r="AD79" i="2"/>
  <c r="AE79" i="2"/>
  <c r="AF79" i="2"/>
  <c r="AG79" i="2"/>
  <c r="AH79" i="2"/>
  <c r="AD80" i="2"/>
  <c r="AE80" i="2"/>
  <c r="AF80" i="2"/>
  <c r="AG80" i="2"/>
  <c r="AH80" i="2"/>
  <c r="AD81" i="2"/>
  <c r="AE81" i="2"/>
  <c r="AF81" i="2"/>
  <c r="AG81" i="2"/>
  <c r="AH81" i="2"/>
  <c r="AD82" i="2"/>
  <c r="AE82" i="2"/>
  <c r="AF82" i="2"/>
  <c r="AG82" i="2"/>
  <c r="AH82" i="2"/>
  <c r="AD83" i="2"/>
  <c r="AE83" i="2"/>
  <c r="AF83" i="2"/>
  <c r="AG83" i="2"/>
  <c r="AH83" i="2"/>
  <c r="AD84" i="2"/>
  <c r="AE84" i="2"/>
  <c r="AF84" i="2"/>
  <c r="AG84" i="2"/>
  <c r="AH84" i="2"/>
  <c r="AD85" i="2"/>
  <c r="AE85" i="2"/>
  <c r="AF85" i="2"/>
  <c r="AG85" i="2"/>
  <c r="AH85" i="2"/>
  <c r="AD86" i="2"/>
  <c r="AE86" i="2"/>
  <c r="AF86" i="2"/>
  <c r="AG86" i="2"/>
  <c r="AH86" i="2"/>
  <c r="R7" i="2" a="1"/>
  <c r="R7" i="2"/>
  <c r="S7" i="2" a="1"/>
  <c r="S7" i="2"/>
  <c r="T7" i="2" a="1"/>
  <c r="T7" i="2"/>
  <c r="U7" i="2"/>
  <c r="R15" i="2" a="1"/>
  <c r="R15" i="2"/>
  <c r="S15" i="2" a="1"/>
  <c r="S15" i="2"/>
  <c r="T15" i="2" a="1"/>
  <c r="T15" i="2"/>
  <c r="U15" i="2"/>
  <c r="R16" i="2" a="1"/>
  <c r="R16" i="2"/>
  <c r="S16" i="2" a="1"/>
  <c r="S16" i="2"/>
  <c r="T16" i="2" a="1"/>
  <c r="T16" i="2"/>
  <c r="U16" i="2"/>
  <c r="R17" i="2" a="1"/>
  <c r="R17" i="2"/>
  <c r="S17" i="2" a="1"/>
  <c r="S17" i="2"/>
  <c r="T17" i="2" a="1"/>
  <c r="T17" i="2"/>
  <c r="U17" i="2"/>
  <c r="R18" i="2" a="1"/>
  <c r="R18" i="2"/>
  <c r="S18" i="2" a="1"/>
  <c r="S18" i="2"/>
  <c r="T18" i="2" a="1"/>
  <c r="T18" i="2"/>
  <c r="U18" i="2"/>
  <c r="R19" i="2" a="1"/>
  <c r="R19" i="2"/>
  <c r="S19" i="2" a="1"/>
  <c r="S19" i="2"/>
  <c r="T19" i="2" a="1"/>
  <c r="T19" i="2"/>
  <c r="U19" i="2"/>
  <c r="R20" i="2" a="1"/>
  <c r="R20" i="2"/>
  <c r="S20" i="2" a="1"/>
  <c r="S20" i="2"/>
  <c r="T20" i="2" a="1"/>
  <c r="T20" i="2"/>
  <c r="U20" i="2"/>
  <c r="R21" i="2" a="1"/>
  <c r="R21" i="2"/>
  <c r="S21" i="2" a="1"/>
  <c r="S21" i="2"/>
  <c r="T21" i="2" a="1"/>
  <c r="T21" i="2"/>
  <c r="U21" i="2"/>
  <c r="R22" i="2" a="1"/>
  <c r="R22" i="2"/>
  <c r="S22" i="2" a="1"/>
  <c r="S22" i="2"/>
  <c r="T22" i="2" a="1"/>
  <c r="T22" i="2"/>
  <c r="U22" i="2"/>
  <c r="R23" i="2" a="1"/>
  <c r="R23" i="2"/>
  <c r="S23" i="2" a="1"/>
  <c r="S23" i="2"/>
  <c r="T23" i="2" a="1"/>
  <c r="T23" i="2"/>
  <c r="U23" i="2"/>
  <c r="R24" i="2" a="1"/>
  <c r="R24" i="2"/>
  <c r="S24" i="2" a="1"/>
  <c r="S24" i="2"/>
  <c r="T24" i="2" a="1"/>
  <c r="T24" i="2"/>
  <c r="U24" i="2"/>
  <c r="R25" i="2" a="1"/>
  <c r="R25" i="2"/>
  <c r="S25" i="2" a="1"/>
  <c r="S25" i="2"/>
  <c r="T25" i="2" a="1"/>
  <c r="T25" i="2"/>
  <c r="U25" i="2"/>
  <c r="R26" i="2" a="1"/>
  <c r="R26" i="2"/>
  <c r="S26" i="2" a="1"/>
  <c r="S26" i="2"/>
  <c r="T26" i="2" a="1"/>
  <c r="T26" i="2"/>
  <c r="U26" i="2"/>
  <c r="R27" i="2" a="1"/>
  <c r="R27" i="2"/>
  <c r="S27" i="2" a="1"/>
  <c r="S27" i="2"/>
  <c r="T27" i="2" a="1"/>
  <c r="T27" i="2"/>
  <c r="U27" i="2"/>
  <c r="R28" i="2" a="1"/>
  <c r="R28" i="2"/>
  <c r="S28" i="2" a="1"/>
  <c r="S28" i="2"/>
  <c r="T28" i="2" a="1"/>
  <c r="T28" i="2"/>
  <c r="U28" i="2"/>
  <c r="R29" i="2" a="1"/>
  <c r="R29" i="2"/>
  <c r="S29" i="2" a="1"/>
  <c r="S29" i="2"/>
  <c r="T29" i="2" a="1"/>
  <c r="T29" i="2"/>
  <c r="U29" i="2"/>
  <c r="R30" i="2" a="1"/>
  <c r="R30" i="2"/>
  <c r="S30" i="2" a="1"/>
  <c r="S30" i="2"/>
  <c r="T30" i="2" a="1"/>
  <c r="T30" i="2"/>
  <c r="U30" i="2"/>
  <c r="R31" i="2" a="1"/>
  <c r="R31" i="2"/>
  <c r="S31" i="2" a="1"/>
  <c r="S31" i="2"/>
  <c r="T31" i="2" a="1"/>
  <c r="T31" i="2"/>
  <c r="U31" i="2"/>
  <c r="R32" i="2" a="1"/>
  <c r="R32" i="2"/>
  <c r="S32" i="2" a="1"/>
  <c r="S32" i="2"/>
  <c r="T32" i="2" a="1"/>
  <c r="T32" i="2"/>
  <c r="U32" i="2"/>
  <c r="R33" i="2" a="1"/>
  <c r="R33" i="2"/>
  <c r="S33" i="2" a="1"/>
  <c r="S33" i="2"/>
  <c r="T33" i="2" a="1"/>
  <c r="T33" i="2"/>
  <c r="U33" i="2"/>
  <c r="R34" i="2" a="1"/>
  <c r="R34" i="2"/>
  <c r="S34" i="2" a="1"/>
  <c r="S34" i="2"/>
  <c r="T34" i="2" a="1"/>
  <c r="T34" i="2"/>
  <c r="U34" i="2"/>
  <c r="R35" i="2" a="1"/>
  <c r="R35" i="2"/>
  <c r="S35" i="2" a="1"/>
  <c r="S35" i="2"/>
  <c r="T35" i="2" a="1"/>
  <c r="T35" i="2"/>
  <c r="U35" i="2"/>
  <c r="R36" i="2" a="1"/>
  <c r="R36" i="2"/>
  <c r="S36" i="2" a="1"/>
  <c r="S36" i="2"/>
  <c r="T36" i="2" a="1"/>
  <c r="T36" i="2"/>
  <c r="U36" i="2"/>
  <c r="R37" i="2" a="1"/>
  <c r="R37" i="2"/>
  <c r="S37" i="2" a="1"/>
  <c r="S37" i="2"/>
  <c r="T37" i="2" a="1"/>
  <c r="T37" i="2"/>
  <c r="U37" i="2"/>
  <c r="R38" i="2" a="1"/>
  <c r="R38" i="2"/>
  <c r="S38" i="2" a="1"/>
  <c r="S38" i="2"/>
  <c r="T38" i="2" a="1"/>
  <c r="T38" i="2"/>
  <c r="U38" i="2"/>
  <c r="R39" i="2" a="1"/>
  <c r="R39" i="2"/>
  <c r="S39" i="2" a="1"/>
  <c r="S39" i="2"/>
  <c r="T39" i="2" a="1"/>
  <c r="T39" i="2"/>
  <c r="U39" i="2"/>
  <c r="R40" i="2" a="1"/>
  <c r="R40" i="2"/>
  <c r="S40" i="2" a="1"/>
  <c r="S40" i="2"/>
  <c r="T40" i="2" a="1"/>
  <c r="T40" i="2"/>
  <c r="U40" i="2"/>
  <c r="R41" i="2" a="1"/>
  <c r="R41" i="2"/>
  <c r="S41" i="2" a="1"/>
  <c r="S41" i="2"/>
  <c r="T41" i="2" a="1"/>
  <c r="T41" i="2"/>
  <c r="U41" i="2"/>
  <c r="R42" i="2" a="1"/>
  <c r="R42" i="2"/>
  <c r="S42" i="2" a="1"/>
  <c r="S42" i="2"/>
  <c r="T42" i="2" a="1"/>
  <c r="T42" i="2"/>
  <c r="U42" i="2"/>
  <c r="R43" i="2" a="1"/>
  <c r="R43" i="2"/>
  <c r="S43" i="2" a="1"/>
  <c r="S43" i="2"/>
  <c r="T43" i="2" a="1"/>
  <c r="T43" i="2"/>
  <c r="U43" i="2"/>
  <c r="R44" i="2" a="1"/>
  <c r="R44" i="2"/>
  <c r="S44" i="2" a="1"/>
  <c r="S44" i="2"/>
  <c r="T44" i="2" a="1"/>
  <c r="T44" i="2"/>
  <c r="U44" i="2"/>
  <c r="R45" i="2" a="1"/>
  <c r="R45" i="2"/>
  <c r="S45" i="2" a="1"/>
  <c r="S45" i="2"/>
  <c r="T45" i="2" a="1"/>
  <c r="T45" i="2"/>
  <c r="U45" i="2"/>
  <c r="R46" i="2" a="1"/>
  <c r="R46" i="2"/>
  <c r="S46" i="2" a="1"/>
  <c r="S46" i="2"/>
  <c r="T46" i="2" a="1"/>
  <c r="T46" i="2"/>
  <c r="U46" i="2"/>
  <c r="R47" i="2" a="1"/>
  <c r="R47" i="2"/>
  <c r="S47" i="2" a="1"/>
  <c r="S47" i="2"/>
  <c r="T47" i="2" a="1"/>
  <c r="T47" i="2"/>
  <c r="U47" i="2"/>
  <c r="R48" i="2" a="1"/>
  <c r="R48" i="2"/>
  <c r="S48" i="2" a="1"/>
  <c r="S48" i="2"/>
  <c r="T48" i="2" a="1"/>
  <c r="T48" i="2"/>
  <c r="U48" i="2"/>
  <c r="R49" i="2" a="1"/>
  <c r="R49" i="2"/>
  <c r="S49" i="2" a="1"/>
  <c r="S49" i="2"/>
  <c r="T49" i="2" a="1"/>
  <c r="T49" i="2"/>
  <c r="U49" i="2"/>
  <c r="R50" i="2" a="1"/>
  <c r="R50" i="2"/>
  <c r="S50" i="2" a="1"/>
  <c r="S50" i="2"/>
  <c r="T50" i="2" a="1"/>
  <c r="T50" i="2"/>
  <c r="U50" i="2"/>
  <c r="R51" i="2" a="1"/>
  <c r="R51" i="2"/>
  <c r="S51" i="2" a="1"/>
  <c r="S51" i="2"/>
  <c r="T51" i="2" a="1"/>
  <c r="T51" i="2"/>
  <c r="U51" i="2"/>
  <c r="R52" i="2" a="1"/>
  <c r="R52" i="2"/>
  <c r="S52" i="2" a="1"/>
  <c r="S52" i="2"/>
  <c r="T52" i="2" a="1"/>
  <c r="T52" i="2"/>
  <c r="U52" i="2"/>
  <c r="R53" i="2" a="1"/>
  <c r="R53" i="2"/>
  <c r="S53" i="2" a="1"/>
  <c r="S53" i="2"/>
  <c r="T53" i="2" a="1"/>
  <c r="T53" i="2"/>
  <c r="U53" i="2"/>
  <c r="R54" i="2" a="1"/>
  <c r="R54" i="2"/>
  <c r="S54" i="2" a="1"/>
  <c r="S54" i="2"/>
  <c r="T54" i="2" a="1"/>
  <c r="T54" i="2"/>
  <c r="U54" i="2"/>
  <c r="R55" i="2" a="1"/>
  <c r="R55" i="2"/>
  <c r="S55" i="2" a="1"/>
  <c r="S55" i="2"/>
  <c r="T55" i="2" a="1"/>
  <c r="T55" i="2"/>
  <c r="U55" i="2"/>
  <c r="R56" i="2" a="1"/>
  <c r="R56" i="2"/>
  <c r="S56" i="2" a="1"/>
  <c r="S56" i="2"/>
  <c r="T56" i="2" a="1"/>
  <c r="T56" i="2"/>
  <c r="U56" i="2"/>
  <c r="R57" i="2" a="1"/>
  <c r="R57" i="2"/>
  <c r="S57" i="2" a="1"/>
  <c r="S57" i="2"/>
  <c r="T57" i="2" a="1"/>
  <c r="T57" i="2"/>
  <c r="U57" i="2"/>
  <c r="R58" i="2" a="1"/>
  <c r="R58" i="2"/>
  <c r="S58" i="2" a="1"/>
  <c r="S58" i="2"/>
  <c r="T58" i="2" a="1"/>
  <c r="T58" i="2"/>
  <c r="U58" i="2"/>
  <c r="R59" i="2" a="1"/>
  <c r="R59" i="2"/>
  <c r="S59" i="2" a="1"/>
  <c r="S59" i="2"/>
  <c r="T59" i="2" a="1"/>
  <c r="T59" i="2"/>
  <c r="U59" i="2"/>
  <c r="R60" i="2" a="1"/>
  <c r="R60" i="2"/>
  <c r="S60" i="2" a="1"/>
  <c r="S60" i="2"/>
  <c r="T60" i="2" a="1"/>
  <c r="T60" i="2"/>
  <c r="U60" i="2"/>
  <c r="R61" i="2" a="1"/>
  <c r="R61" i="2"/>
  <c r="S61" i="2" a="1"/>
  <c r="S61" i="2"/>
  <c r="T61" i="2" a="1"/>
  <c r="T61" i="2"/>
  <c r="U61" i="2"/>
  <c r="R62" i="2" a="1"/>
  <c r="R62" i="2"/>
  <c r="S62" i="2" a="1"/>
  <c r="S62" i="2"/>
  <c r="T62" i="2" a="1"/>
  <c r="T62" i="2"/>
  <c r="U62" i="2"/>
  <c r="R63" i="2" a="1"/>
  <c r="R63" i="2"/>
  <c r="S63" i="2" a="1"/>
  <c r="S63" i="2"/>
  <c r="T63" i="2" a="1"/>
  <c r="T63" i="2"/>
  <c r="U63" i="2"/>
  <c r="R64" i="2" a="1"/>
  <c r="R64" i="2"/>
  <c r="S64" i="2" a="1"/>
  <c r="S64" i="2"/>
  <c r="T64" i="2" a="1"/>
  <c r="T64" i="2"/>
  <c r="U64" i="2"/>
  <c r="R65" i="2" a="1"/>
  <c r="R65" i="2"/>
  <c r="S65" i="2" a="1"/>
  <c r="S65" i="2"/>
  <c r="T65" i="2" a="1"/>
  <c r="T65" i="2"/>
  <c r="U65" i="2"/>
  <c r="R66" i="2" a="1"/>
  <c r="R66" i="2"/>
  <c r="S66" i="2" a="1"/>
  <c r="S66" i="2"/>
  <c r="T66" i="2" a="1"/>
  <c r="T66" i="2"/>
  <c r="U66" i="2"/>
  <c r="R67" i="2" a="1"/>
  <c r="R67" i="2"/>
  <c r="S67" i="2" a="1"/>
  <c r="S67" i="2"/>
  <c r="T67" i="2" a="1"/>
  <c r="T67" i="2"/>
  <c r="U67" i="2"/>
  <c r="R68" i="2" a="1"/>
  <c r="R68" i="2"/>
  <c r="S68" i="2" a="1"/>
  <c r="S68" i="2"/>
  <c r="T68" i="2" a="1"/>
  <c r="T68" i="2"/>
  <c r="U68" i="2"/>
  <c r="R69" i="2" a="1"/>
  <c r="R69" i="2"/>
  <c r="S69" i="2" a="1"/>
  <c r="S69" i="2"/>
  <c r="T69" i="2" a="1"/>
  <c r="T69" i="2"/>
  <c r="U69" i="2"/>
  <c r="R70" i="2" a="1"/>
  <c r="R70" i="2"/>
  <c r="S70" i="2" a="1"/>
  <c r="S70" i="2"/>
  <c r="T70" i="2" a="1"/>
  <c r="T70" i="2"/>
  <c r="U70" i="2"/>
  <c r="R71" i="2" a="1"/>
  <c r="R71" i="2"/>
  <c r="S71" i="2" a="1"/>
  <c r="S71" i="2"/>
  <c r="T71" i="2" a="1"/>
  <c r="T71" i="2"/>
  <c r="U71" i="2"/>
  <c r="R72" i="2" a="1"/>
  <c r="R72" i="2"/>
  <c r="S72" i="2" a="1"/>
  <c r="S72" i="2"/>
  <c r="T72" i="2" a="1"/>
  <c r="T72" i="2"/>
  <c r="U72" i="2"/>
  <c r="R73" i="2" a="1"/>
  <c r="R73" i="2"/>
  <c r="S73" i="2" a="1"/>
  <c r="S73" i="2"/>
  <c r="T73" i="2" a="1"/>
  <c r="T73" i="2"/>
  <c r="U73" i="2"/>
  <c r="R74" i="2" a="1"/>
  <c r="R74" i="2"/>
  <c r="S74" i="2" a="1"/>
  <c r="S74" i="2"/>
  <c r="T74" i="2" a="1"/>
  <c r="T74" i="2"/>
  <c r="U74" i="2"/>
  <c r="R75" i="2" a="1"/>
  <c r="R75" i="2"/>
  <c r="S75" i="2" a="1"/>
  <c r="S75" i="2"/>
  <c r="T75" i="2" a="1"/>
  <c r="T75" i="2"/>
  <c r="U75" i="2"/>
  <c r="R76" i="2" a="1"/>
  <c r="R76" i="2"/>
  <c r="S76" i="2" a="1"/>
  <c r="S76" i="2"/>
  <c r="T76" i="2" a="1"/>
  <c r="T76" i="2"/>
  <c r="U76" i="2"/>
  <c r="R77" i="2" a="1"/>
  <c r="R77" i="2"/>
  <c r="S77" i="2" a="1"/>
  <c r="S77" i="2"/>
  <c r="T77" i="2" a="1"/>
  <c r="T77" i="2"/>
  <c r="U77" i="2"/>
  <c r="R78" i="2" a="1"/>
  <c r="R78" i="2"/>
  <c r="S78" i="2" a="1"/>
  <c r="S78" i="2"/>
  <c r="T78" i="2" a="1"/>
  <c r="T78" i="2"/>
  <c r="U78" i="2"/>
  <c r="R79" i="2" a="1"/>
  <c r="R79" i="2"/>
  <c r="S79" i="2" a="1"/>
  <c r="S79" i="2"/>
  <c r="T79" i="2" a="1"/>
  <c r="T79" i="2"/>
  <c r="U79" i="2"/>
  <c r="R80" i="2" a="1"/>
  <c r="R80" i="2"/>
  <c r="S80" i="2" a="1"/>
  <c r="S80" i="2"/>
  <c r="T80" i="2" a="1"/>
  <c r="T80" i="2"/>
  <c r="U80" i="2"/>
  <c r="R81" i="2" a="1"/>
  <c r="R81" i="2"/>
  <c r="S81" i="2" a="1"/>
  <c r="S81" i="2"/>
  <c r="T81" i="2" a="1"/>
  <c r="T81" i="2"/>
  <c r="U81" i="2"/>
  <c r="R82" i="2" a="1"/>
  <c r="R82" i="2"/>
  <c r="S82" i="2" a="1"/>
  <c r="S82" i="2"/>
  <c r="T82" i="2" a="1"/>
  <c r="T82" i="2"/>
  <c r="U82" i="2"/>
  <c r="R83" i="2" a="1"/>
  <c r="R83" i="2"/>
  <c r="S83" i="2" a="1"/>
  <c r="S83" i="2"/>
  <c r="T83" i="2" a="1"/>
  <c r="T83" i="2"/>
  <c r="U83" i="2"/>
  <c r="R84" i="2" a="1"/>
  <c r="R84" i="2"/>
  <c r="S84" i="2" a="1"/>
  <c r="S84" i="2"/>
  <c r="T84" i="2" a="1"/>
  <c r="T84" i="2"/>
  <c r="U84" i="2"/>
  <c r="R85" i="2" a="1"/>
  <c r="R85" i="2"/>
  <c r="S85" i="2" a="1"/>
  <c r="S85" i="2"/>
  <c r="T85" i="2" a="1"/>
  <c r="T85" i="2"/>
  <c r="U85" i="2"/>
  <c r="R86" i="2" a="1"/>
  <c r="R86" i="2"/>
  <c r="S86" i="2" a="1"/>
  <c r="S86" i="2"/>
  <c r="T86" i="2" a="1"/>
  <c r="T86" i="2"/>
  <c r="U86" i="2"/>
  <c r="R8" i="2" a="1"/>
  <c r="R8" i="2"/>
  <c r="S8" i="2" a="1"/>
  <c r="S8" i="2"/>
  <c r="T8" i="2" a="1"/>
  <c r="T8" i="2"/>
  <c r="U8" i="2"/>
  <c r="R9" i="2" a="1"/>
  <c r="R9" i="2"/>
  <c r="S9" i="2" a="1"/>
  <c r="S9" i="2"/>
  <c r="T9" i="2" a="1"/>
  <c r="T9" i="2"/>
  <c r="U9" i="2"/>
  <c r="R10" i="2" a="1"/>
  <c r="R10" i="2"/>
  <c r="S10" i="2" a="1"/>
  <c r="S10" i="2"/>
  <c r="T10" i="2" a="1"/>
  <c r="T10" i="2"/>
  <c r="U10" i="2"/>
  <c r="R11" i="2" a="1"/>
  <c r="R11" i="2"/>
  <c r="S11" i="2" a="1"/>
  <c r="S11" i="2"/>
  <c r="T11" i="2" a="1"/>
  <c r="T11" i="2"/>
  <c r="U11" i="2"/>
  <c r="R12" i="2" a="1"/>
  <c r="R12" i="2"/>
  <c r="S12" i="2" a="1"/>
  <c r="S12" i="2"/>
  <c r="T12" i="2" a="1"/>
  <c r="T12" i="2"/>
  <c r="U12" i="2"/>
  <c r="R13" i="2" a="1"/>
  <c r="R13" i="2"/>
  <c r="S13" i="2" a="1"/>
  <c r="S13" i="2"/>
  <c r="T13" i="2" a="1"/>
  <c r="T13" i="2"/>
  <c r="U13" i="2"/>
  <c r="R14" i="2" a="1"/>
  <c r="R14" i="2"/>
  <c r="S14" i="2" a="1"/>
  <c r="S14" i="2"/>
  <c r="T14" i="2" a="1"/>
  <c r="T14" i="2"/>
  <c r="U14"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Q4" i="2"/>
  <c r="AC11" i="2"/>
  <c r="AC12" i="2"/>
  <c r="AC13" i="2"/>
  <c r="AC14" i="2"/>
  <c r="AC15" i="2"/>
  <c r="AC16" i="2"/>
  <c r="AC17" i="2"/>
  <c r="AC18" i="2"/>
  <c r="AC19" i="2"/>
  <c r="AC20" i="2"/>
  <c r="AC21" i="2"/>
  <c r="AC22" i="2"/>
  <c r="I7" i="2" a="1"/>
  <c r="J7" i="2" a="1"/>
  <c r="K7" i="2" a="1"/>
  <c r="L7" i="2" a="1"/>
  <c r="M7" i="2" a="1"/>
  <c r="I8" i="2" a="1"/>
  <c r="J8" i="2" a="1"/>
  <c r="K8" i="2" a="1"/>
  <c r="L8" i="2" a="1"/>
  <c r="M8" i="2" a="1"/>
  <c r="I9" i="2" a="1"/>
  <c r="J9" i="2" a="1"/>
  <c r="K9" i="2" a="1"/>
  <c r="L9" i="2" a="1"/>
  <c r="M9" i="2" a="1"/>
  <c r="I10" i="2" a="1"/>
  <c r="J10" i="2" a="1"/>
  <c r="K10" i="2" a="1"/>
  <c r="L10" i="2" a="1"/>
  <c r="M10" i="2" a="1"/>
  <c r="I11" i="2" a="1"/>
  <c r="J11" i="2" a="1"/>
  <c r="K11" i="2" a="1"/>
  <c r="L11" i="2" a="1"/>
  <c r="M11" i="2" a="1"/>
  <c r="I12" i="2" a="1"/>
  <c r="J12" i="2" a="1"/>
  <c r="K12" i="2" a="1"/>
  <c r="L12" i="2" a="1"/>
  <c r="M12" i="2" a="1"/>
  <c r="I13" i="2" a="1"/>
  <c r="J13" i="2" a="1"/>
  <c r="K13" i="2" a="1"/>
  <c r="L13" i="2" a="1"/>
  <c r="M13" i="2" a="1"/>
  <c r="I14" i="2" a="1"/>
  <c r="J14" i="2" a="1"/>
  <c r="K14" i="2" a="1"/>
  <c r="L14" i="2" a="1"/>
  <c r="M14" i="2" a="1"/>
  <c r="I15" i="2" a="1"/>
  <c r="J15" i="2" a="1"/>
  <c r="K15" i="2" a="1"/>
  <c r="L15" i="2" a="1"/>
  <c r="M15" i="2" a="1"/>
  <c r="I16" i="2" a="1"/>
  <c r="J16" i="2" a="1"/>
  <c r="K16" i="2" a="1"/>
  <c r="L16" i="2" a="1"/>
  <c r="M16" i="2" a="1"/>
  <c r="I17" i="2" a="1"/>
  <c r="J17" i="2" a="1"/>
  <c r="K17" i="2" a="1"/>
  <c r="L17" i="2" a="1"/>
  <c r="M17" i="2" a="1"/>
  <c r="I18" i="2" a="1"/>
  <c r="J18" i="2" a="1"/>
  <c r="K18" i="2" a="1"/>
  <c r="L18" i="2" a="1"/>
  <c r="M18" i="2" a="1"/>
  <c r="I19" i="2" a="1"/>
  <c r="J19" i="2" a="1"/>
  <c r="K19" i="2" a="1"/>
  <c r="L19" i="2" a="1"/>
  <c r="M19" i="2" a="1"/>
  <c r="I20" i="2" a="1"/>
  <c r="J20" i="2" a="1"/>
  <c r="K20" i="2" a="1"/>
  <c r="L20" i="2" a="1"/>
  <c r="M20" i="2" a="1"/>
  <c r="I21" i="2" a="1"/>
  <c r="J21" i="2" a="1"/>
  <c r="K21" i="2" a="1"/>
  <c r="L21" i="2" a="1"/>
  <c r="M21" i="2" a="1"/>
  <c r="I22" i="2" a="1"/>
  <c r="J22" i="2" a="1"/>
  <c r="K22" i="2" a="1"/>
  <c r="L22" i="2" a="1"/>
  <c r="M22" i="2" a="1"/>
  <c r="I23" i="2" a="1"/>
  <c r="J23" i="2" a="1"/>
  <c r="K23" i="2" a="1"/>
  <c r="L23" i="2" a="1"/>
  <c r="M23" i="2" a="1"/>
  <c r="I24" i="2" a="1"/>
  <c r="J24" i="2" a="1"/>
  <c r="K24" i="2" a="1"/>
  <c r="L24" i="2" a="1"/>
  <c r="M24" i="2" a="1"/>
  <c r="I25" i="2" a="1"/>
  <c r="J25" i="2" a="1"/>
  <c r="K25" i="2" a="1"/>
  <c r="L25" i="2" a="1"/>
  <c r="M25" i="2" a="1"/>
  <c r="I26" i="2" a="1"/>
  <c r="J26" i="2" a="1"/>
  <c r="K26" i="2" a="1"/>
  <c r="L26" i="2" a="1"/>
  <c r="M26" i="2" a="1"/>
  <c r="I27" i="2" a="1"/>
  <c r="J27" i="2" a="1"/>
  <c r="K27" i="2" a="1"/>
  <c r="L27" i="2" a="1"/>
  <c r="M27" i="2" a="1"/>
  <c r="I28" i="2" a="1"/>
  <c r="J28" i="2" a="1"/>
  <c r="K28" i="2" a="1"/>
  <c r="L28" i="2" a="1"/>
  <c r="M28" i="2" a="1"/>
  <c r="I29" i="2" a="1"/>
  <c r="J29" i="2" a="1"/>
  <c r="K29" i="2" a="1"/>
  <c r="L29" i="2" a="1"/>
  <c r="M29" i="2" a="1"/>
  <c r="I30" i="2" a="1"/>
  <c r="J30" i="2" a="1"/>
  <c r="K30" i="2" a="1"/>
  <c r="L30" i="2" a="1"/>
  <c r="M30" i="2" a="1"/>
  <c r="I31" i="2" a="1"/>
  <c r="J31" i="2" a="1"/>
  <c r="K31" i="2" a="1"/>
  <c r="L31" i="2" a="1"/>
  <c r="M31" i="2" a="1"/>
  <c r="I32" i="2" a="1"/>
  <c r="J32" i="2" a="1"/>
  <c r="K32" i="2" a="1"/>
  <c r="L32" i="2" a="1"/>
  <c r="M32" i="2" a="1"/>
  <c r="I33" i="2" a="1"/>
  <c r="J33" i="2" a="1"/>
  <c r="K33" i="2" a="1"/>
  <c r="L33" i="2" a="1"/>
  <c r="M33" i="2" a="1"/>
  <c r="I34" i="2" a="1"/>
  <c r="J34" i="2" a="1"/>
  <c r="K34" i="2" a="1"/>
  <c r="L34" i="2" a="1"/>
  <c r="M34" i="2" a="1"/>
  <c r="I35" i="2" a="1"/>
  <c r="J35" i="2" a="1"/>
  <c r="K35" i="2" a="1"/>
  <c r="L35" i="2" a="1"/>
  <c r="M35" i="2" a="1"/>
  <c r="I36" i="2" a="1"/>
  <c r="J36" i="2" a="1"/>
  <c r="K36" i="2" a="1"/>
  <c r="L36" i="2" a="1"/>
  <c r="M36" i="2" a="1"/>
  <c r="I37" i="2" a="1"/>
  <c r="J37" i="2" a="1"/>
  <c r="K37" i="2" a="1"/>
  <c r="L37" i="2" a="1"/>
  <c r="M37" i="2" a="1"/>
  <c r="I38" i="2" a="1"/>
  <c r="J38" i="2" a="1"/>
  <c r="K38" i="2" a="1"/>
  <c r="L38" i="2" a="1"/>
  <c r="M38" i="2" a="1"/>
  <c r="I39" i="2" a="1"/>
  <c r="J39" i="2" a="1"/>
  <c r="K39" i="2" a="1"/>
  <c r="L39" i="2" a="1"/>
  <c r="M39" i="2" a="1"/>
  <c r="I40" i="2" a="1"/>
  <c r="J40" i="2" a="1"/>
  <c r="K40" i="2" a="1"/>
  <c r="L40" i="2" a="1"/>
  <c r="M40" i="2" a="1"/>
  <c r="I41" i="2" a="1"/>
  <c r="J41" i="2" a="1"/>
  <c r="K41" i="2" a="1"/>
  <c r="L41" i="2" a="1"/>
  <c r="M41" i="2" a="1"/>
  <c r="I42" i="2" a="1"/>
  <c r="J42" i="2" a="1"/>
  <c r="K42" i="2" a="1"/>
  <c r="L42" i="2" a="1"/>
  <c r="M42" i="2" a="1"/>
  <c r="I43" i="2" a="1"/>
  <c r="J43" i="2" a="1"/>
  <c r="K43" i="2" a="1"/>
  <c r="L43" i="2" a="1"/>
  <c r="M43" i="2" a="1"/>
  <c r="I44" i="2" a="1"/>
  <c r="J44" i="2" a="1"/>
  <c r="K44" i="2" a="1"/>
  <c r="L44" i="2" a="1"/>
  <c r="M44" i="2" a="1"/>
  <c r="I45" i="2" a="1"/>
  <c r="J45" i="2" a="1"/>
  <c r="K45" i="2" a="1"/>
  <c r="L45" i="2" a="1"/>
  <c r="M45" i="2" a="1"/>
  <c r="I46" i="2" a="1"/>
  <c r="J46" i="2" a="1"/>
  <c r="K46" i="2" a="1"/>
  <c r="L46" i="2" a="1"/>
  <c r="M46" i="2" a="1"/>
  <c r="I47" i="2" a="1"/>
  <c r="J47" i="2" a="1"/>
  <c r="K47" i="2" a="1"/>
  <c r="L47" i="2" a="1"/>
  <c r="M47" i="2" a="1"/>
  <c r="I48" i="2" a="1"/>
  <c r="J48" i="2" a="1"/>
  <c r="K48" i="2" a="1"/>
  <c r="L48" i="2" a="1"/>
  <c r="M48" i="2" a="1"/>
  <c r="I49" i="2" a="1"/>
  <c r="J49" i="2" a="1"/>
  <c r="K49" i="2" a="1"/>
  <c r="L49" i="2" a="1"/>
  <c r="M49" i="2" a="1"/>
  <c r="I50" i="2" a="1"/>
  <c r="J50" i="2" a="1"/>
  <c r="K50" i="2" a="1"/>
  <c r="L50" i="2" a="1"/>
  <c r="M50" i="2" a="1"/>
  <c r="I51" i="2" a="1"/>
  <c r="J51" i="2" a="1"/>
  <c r="K51" i="2" a="1"/>
  <c r="L51" i="2" a="1"/>
  <c r="M51" i="2" a="1"/>
  <c r="I52" i="2" a="1"/>
  <c r="J52" i="2" a="1"/>
  <c r="K52" i="2" a="1"/>
  <c r="L52" i="2" a="1"/>
  <c r="M52" i="2" a="1"/>
  <c r="I53" i="2" a="1"/>
  <c r="J53" i="2" a="1"/>
  <c r="K53" i="2" a="1"/>
  <c r="L53" i="2" a="1"/>
  <c r="M53" i="2" a="1"/>
  <c r="I54" i="2" a="1"/>
  <c r="J54" i="2" a="1"/>
  <c r="K54" i="2" a="1"/>
  <c r="L54" i="2" a="1"/>
  <c r="M54" i="2" a="1"/>
  <c r="I55" i="2" a="1"/>
  <c r="J55" i="2" a="1"/>
  <c r="K55" i="2" a="1"/>
  <c r="L55" i="2" a="1"/>
  <c r="M55" i="2" a="1"/>
  <c r="I56" i="2" a="1"/>
  <c r="J56" i="2" a="1"/>
  <c r="K56" i="2" a="1"/>
  <c r="L56" i="2" a="1"/>
  <c r="M56" i="2" a="1"/>
  <c r="I57" i="2" a="1"/>
  <c r="J57" i="2" a="1"/>
  <c r="K57" i="2" a="1"/>
  <c r="L57" i="2" a="1"/>
  <c r="M57" i="2" a="1"/>
  <c r="I58" i="2" a="1"/>
  <c r="J58" i="2" a="1"/>
  <c r="K58" i="2" a="1"/>
  <c r="L58" i="2" a="1"/>
  <c r="M58" i="2" a="1"/>
  <c r="I59" i="2" a="1"/>
  <c r="J59" i="2" a="1"/>
  <c r="K59" i="2" a="1"/>
  <c r="L59" i="2" a="1"/>
  <c r="M59" i="2" a="1"/>
  <c r="I60" i="2" a="1"/>
  <c r="J60" i="2" a="1"/>
  <c r="K60" i="2" a="1"/>
  <c r="L60" i="2" a="1"/>
  <c r="M60" i="2" a="1"/>
  <c r="I61" i="2" a="1"/>
  <c r="J61" i="2" a="1"/>
  <c r="K61" i="2" a="1"/>
  <c r="L61" i="2" a="1"/>
  <c r="M61" i="2" a="1"/>
  <c r="I62" i="2" a="1"/>
  <c r="J62" i="2" a="1"/>
  <c r="K62" i="2" a="1"/>
  <c r="L62" i="2" a="1"/>
  <c r="M62" i="2" a="1"/>
  <c r="I63" i="2" a="1"/>
  <c r="J63" i="2" a="1"/>
  <c r="K63" i="2" a="1"/>
  <c r="L63" i="2" a="1"/>
  <c r="M63" i="2" a="1"/>
  <c r="I64" i="2" a="1"/>
  <c r="J64" i="2" a="1"/>
  <c r="K64" i="2" a="1"/>
  <c r="L64" i="2" a="1"/>
  <c r="M64" i="2" a="1"/>
  <c r="I65" i="2" a="1"/>
  <c r="J65" i="2" a="1"/>
  <c r="K65" i="2" a="1"/>
  <c r="L65" i="2" a="1"/>
  <c r="M65" i="2" a="1"/>
  <c r="I66" i="2" a="1"/>
  <c r="J66" i="2" a="1"/>
  <c r="K66" i="2" a="1"/>
  <c r="L66" i="2" a="1"/>
  <c r="M66" i="2" a="1"/>
  <c r="I67" i="2" a="1"/>
  <c r="J67" i="2" a="1"/>
  <c r="K67" i="2" a="1"/>
  <c r="L67" i="2" a="1"/>
  <c r="M67" i="2" a="1"/>
  <c r="I68" i="2" a="1"/>
  <c r="J68" i="2" a="1"/>
  <c r="K68" i="2" a="1"/>
  <c r="L68" i="2" a="1"/>
  <c r="M68" i="2" a="1"/>
  <c r="I69" i="2" a="1"/>
  <c r="J69" i="2" a="1"/>
  <c r="K69" i="2" a="1"/>
  <c r="L69" i="2" a="1"/>
  <c r="M69" i="2" a="1"/>
  <c r="I70" i="2" a="1"/>
  <c r="J70" i="2" a="1"/>
  <c r="K70" i="2" a="1"/>
  <c r="L70" i="2" a="1"/>
  <c r="M70" i="2" a="1"/>
  <c r="I71" i="2" a="1"/>
  <c r="J71" i="2" a="1"/>
  <c r="K71" i="2" a="1"/>
  <c r="L71" i="2" a="1"/>
  <c r="M71" i="2" a="1"/>
  <c r="I72" i="2" a="1"/>
  <c r="J72" i="2" a="1"/>
  <c r="K72" i="2" a="1"/>
  <c r="L72" i="2" a="1"/>
  <c r="M72" i="2" a="1"/>
  <c r="I73" i="2" a="1"/>
  <c r="J73" i="2" a="1"/>
  <c r="K73" i="2" a="1"/>
  <c r="L73" i="2" a="1"/>
  <c r="M73" i="2" a="1"/>
  <c r="I74" i="2" a="1"/>
  <c r="J74" i="2" a="1"/>
  <c r="K74" i="2" a="1"/>
  <c r="L74" i="2" a="1"/>
  <c r="M74" i="2" a="1"/>
  <c r="I75" i="2" a="1"/>
  <c r="J75" i="2" a="1"/>
  <c r="K75" i="2" a="1"/>
  <c r="L75" i="2" a="1"/>
  <c r="M75" i="2" a="1"/>
  <c r="I76" i="2" a="1"/>
  <c r="J76" i="2" a="1"/>
  <c r="K76" i="2" a="1"/>
  <c r="L76" i="2" a="1"/>
  <c r="M76" i="2" a="1"/>
  <c r="I77" i="2" a="1"/>
  <c r="J77" i="2" a="1"/>
  <c r="K77" i="2" a="1"/>
  <c r="L77" i="2" a="1"/>
  <c r="M77" i="2" a="1"/>
  <c r="I78" i="2" a="1"/>
  <c r="J78" i="2" a="1"/>
  <c r="K78" i="2" a="1"/>
  <c r="L78" i="2" a="1"/>
  <c r="M78" i="2" a="1"/>
  <c r="I79" i="2" a="1"/>
  <c r="J79" i="2" a="1"/>
  <c r="K79" i="2" a="1"/>
  <c r="L79" i="2" a="1"/>
  <c r="M79" i="2" a="1"/>
  <c r="I80" i="2" a="1"/>
  <c r="J80" i="2" a="1"/>
  <c r="K80" i="2" a="1"/>
  <c r="L80" i="2" a="1"/>
  <c r="M80" i="2" a="1"/>
  <c r="I81" i="2" a="1"/>
  <c r="J81" i="2" a="1"/>
  <c r="K81" i="2" a="1"/>
  <c r="L81" i="2" a="1"/>
  <c r="M81" i="2" a="1"/>
  <c r="I82" i="2" a="1"/>
  <c r="J82" i="2" a="1"/>
  <c r="K82" i="2" a="1"/>
  <c r="L82" i="2" a="1"/>
  <c r="M82" i="2" a="1"/>
  <c r="I83" i="2" a="1"/>
  <c r="J83" i="2" a="1"/>
  <c r="K83" i="2" a="1"/>
  <c r="L83" i="2" a="1"/>
  <c r="M83" i="2" a="1"/>
  <c r="I84" i="2" a="1"/>
  <c r="J84" i="2" a="1"/>
  <c r="K84" i="2" a="1"/>
  <c r="L84" i="2" a="1"/>
  <c r="M84" i="2" a="1"/>
  <c r="I85" i="2" a="1"/>
  <c r="J85" i="2" a="1"/>
  <c r="K85" i="2" a="1"/>
  <c r="L85" i="2" a="1"/>
  <c r="M85" i="2" a="1"/>
  <c r="I86" i="2" a="1"/>
  <c r="J86" i="2" a="1"/>
  <c r="K86" i="2" a="1"/>
  <c r="L86" i="2" a="1"/>
  <c r="M86" i="2" a="1"/>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C15" i="11"/>
  <c r="A15" i="11"/>
  <c r="C16" i="11"/>
  <c r="A16" i="11"/>
  <c r="C17" i="11"/>
  <c r="A17" i="11"/>
  <c r="C18" i="11"/>
  <c r="A18" i="11"/>
  <c r="C19" i="11"/>
  <c r="A19" i="11"/>
  <c r="C20" i="11"/>
  <c r="A20" i="11"/>
  <c r="C21" i="11"/>
  <c r="A21" i="11"/>
  <c r="C22" i="11"/>
  <c r="A22" i="11"/>
  <c r="C23" i="11"/>
  <c r="A23" i="11"/>
  <c r="C24" i="11"/>
  <c r="A24" i="11"/>
  <c r="C25" i="11"/>
  <c r="A25" i="11"/>
  <c r="C26" i="11"/>
  <c r="A26" i="11"/>
  <c r="C27" i="11"/>
  <c r="A27" i="11"/>
  <c r="C28" i="11"/>
  <c r="A28" i="11"/>
  <c r="C29" i="11"/>
  <c r="A29" i="11"/>
  <c r="C30" i="11"/>
  <c r="A30" i="11"/>
  <c r="C31" i="11"/>
  <c r="A31" i="11"/>
  <c r="C32" i="11"/>
  <c r="A32" i="11"/>
  <c r="C33" i="11"/>
  <c r="A33" i="11"/>
  <c r="C34" i="11"/>
  <c r="A34" i="11"/>
  <c r="C35" i="11"/>
  <c r="A35" i="11"/>
  <c r="C36" i="11"/>
  <c r="A36" i="11"/>
  <c r="C37" i="11"/>
  <c r="A37" i="11"/>
  <c r="C38" i="11"/>
  <c r="A38" i="11"/>
  <c r="C39" i="11"/>
  <c r="A39" i="11"/>
  <c r="C40" i="11"/>
  <c r="A40" i="11"/>
  <c r="C41" i="11"/>
  <c r="A41" i="11"/>
  <c r="C42" i="11"/>
  <c r="A42" i="11"/>
  <c r="C43" i="11"/>
  <c r="A43" i="11"/>
  <c r="C44" i="11"/>
  <c r="A44" i="11"/>
  <c r="C45" i="11"/>
  <c r="A45" i="11"/>
  <c r="C46" i="11"/>
  <c r="A46" i="11"/>
  <c r="C47" i="11"/>
  <c r="A47" i="11"/>
  <c r="C48" i="11"/>
  <c r="A48" i="11"/>
  <c r="C49" i="11"/>
  <c r="A49" i="11"/>
  <c r="C50" i="11"/>
  <c r="A50" i="11"/>
  <c r="C51" i="11"/>
  <c r="A51" i="11"/>
  <c r="C52" i="11"/>
  <c r="A52" i="11"/>
  <c r="C53" i="11"/>
  <c r="A53" i="11"/>
  <c r="C54" i="11"/>
  <c r="A54" i="11"/>
  <c r="C55" i="11"/>
  <c r="A55" i="11"/>
  <c r="C56" i="11"/>
  <c r="A56" i="11"/>
  <c r="C57" i="11"/>
  <c r="A57" i="11"/>
  <c r="C58" i="11"/>
  <c r="A58" i="11"/>
  <c r="C59" i="11"/>
  <c r="A59" i="11"/>
  <c r="C60" i="11"/>
  <c r="A60" i="11"/>
  <c r="C61" i="11"/>
  <c r="A61" i="11"/>
  <c r="C62" i="11"/>
  <c r="A62" i="11"/>
  <c r="C63" i="11"/>
  <c r="A63" i="11"/>
  <c r="C64" i="11"/>
  <c r="A64" i="11"/>
  <c r="C65" i="11"/>
  <c r="A65" i="11"/>
  <c r="C66" i="11"/>
  <c r="A66" i="11"/>
  <c r="C67" i="11"/>
  <c r="A67" i="11"/>
  <c r="C68" i="11"/>
  <c r="A68" i="11"/>
  <c r="C69" i="11"/>
  <c r="A69" i="11"/>
  <c r="C70" i="11"/>
  <c r="A70" i="11"/>
  <c r="C71" i="11"/>
  <c r="A71" i="11"/>
  <c r="C72" i="11"/>
  <c r="A72" i="11"/>
  <c r="C73" i="11"/>
  <c r="A73" i="11"/>
  <c r="C74" i="11"/>
  <c r="A74" i="11"/>
  <c r="C75" i="11"/>
  <c r="A75" i="11"/>
  <c r="C76" i="11"/>
  <c r="A76" i="11"/>
  <c r="C77" i="11"/>
  <c r="A77" i="11"/>
  <c r="C78" i="11"/>
  <c r="A78" i="11"/>
  <c r="C79" i="11"/>
  <c r="A79" i="11"/>
  <c r="C80" i="11"/>
  <c r="A80" i="11"/>
  <c r="C81" i="11"/>
  <c r="A81" i="11"/>
  <c r="C82" i="11"/>
  <c r="A82" i="11"/>
  <c r="C83" i="11"/>
  <c r="A83" i="11"/>
  <c r="C84" i="11"/>
  <c r="A84" i="11"/>
  <c r="C85" i="11"/>
  <c r="A85" i="11"/>
  <c r="C86" i="11"/>
  <c r="A86" i="11"/>
  <c r="C87" i="11"/>
  <c r="A87" i="11"/>
  <c r="C88" i="11"/>
  <c r="A88" i="11"/>
  <c r="C89" i="11"/>
  <c r="A89" i="11"/>
  <c r="C90" i="11"/>
  <c r="A90" i="11"/>
  <c r="G11" i="11"/>
  <c r="G12" i="11"/>
  <c r="G13" i="11"/>
  <c r="G14" i="11"/>
  <c r="G15" i="11"/>
  <c r="G16" i="11"/>
  <c r="G17" i="11"/>
  <c r="G18" i="11"/>
  <c r="G19" i="11"/>
  <c r="G20" i="11"/>
  <c r="G21" i="11"/>
  <c r="G22" i="11"/>
  <c r="G23" i="11"/>
  <c r="G24" i="11"/>
  <c r="G25" i="11"/>
  <c r="G26" i="11"/>
  <c r="G27" i="11"/>
  <c r="G39" i="11"/>
  <c r="G42" i="11"/>
  <c r="G90" i="11"/>
  <c r="R6" i="11"/>
  <c r="A3" i="5"/>
  <c r="A81" i="1"/>
  <c r="A79" i="1"/>
  <c r="A77" i="1"/>
  <c r="A75" i="1"/>
  <c r="A73" i="1"/>
  <c r="A71" i="1"/>
  <c r="A69" i="1"/>
  <c r="A67" i="1"/>
  <c r="A65" i="1"/>
  <c r="A63" i="1"/>
  <c r="A61" i="1"/>
  <c r="A59" i="1"/>
  <c r="A57" i="1"/>
  <c r="A55" i="1"/>
  <c r="A53" i="1"/>
  <c r="A51" i="1"/>
  <c r="A49" i="1"/>
  <c r="A47" i="1"/>
  <c r="A45" i="1"/>
  <c r="A43" i="1"/>
  <c r="A41" i="1"/>
  <c r="A39" i="1"/>
  <c r="A37" i="1"/>
  <c r="A35" i="1"/>
  <c r="A33" i="1"/>
  <c r="A31" i="1"/>
  <c r="A29" i="1"/>
  <c r="A27" i="1"/>
  <c r="A25" i="1"/>
  <c r="A23" i="1"/>
  <c r="A21" i="1"/>
  <c r="A19" i="1"/>
  <c r="A17" i="1"/>
  <c r="A15" i="1"/>
  <c r="A13" i="1"/>
  <c r="A11" i="1"/>
  <c r="A9" i="1"/>
  <c r="A7" i="1"/>
  <c r="A5" i="1"/>
  <c r="A3" i="1"/>
  <c r="A81" i="5"/>
  <c r="A79" i="5"/>
  <c r="A77" i="5"/>
  <c r="A75" i="5"/>
  <c r="A73" i="5"/>
  <c r="A71" i="5"/>
  <c r="A69" i="5"/>
  <c r="A67" i="5"/>
  <c r="A65" i="5"/>
  <c r="A63" i="5"/>
  <c r="A61" i="5"/>
  <c r="A59" i="5"/>
  <c r="A57" i="5"/>
  <c r="A55" i="5"/>
  <c r="A53" i="5"/>
  <c r="A51" i="5"/>
  <c r="A49" i="5"/>
  <c r="A47" i="5"/>
  <c r="A45" i="5"/>
  <c r="A43" i="5"/>
  <c r="A41" i="5"/>
  <c r="A39" i="5"/>
  <c r="A37" i="5"/>
  <c r="A35" i="5"/>
  <c r="A33" i="5"/>
  <c r="A31" i="5"/>
  <c r="A29" i="5"/>
  <c r="A27" i="5"/>
  <c r="A25" i="5"/>
  <c r="A23" i="5"/>
  <c r="A21" i="5"/>
  <c r="A19" i="5"/>
  <c r="A17" i="5"/>
  <c r="A15" i="5"/>
  <c r="A13" i="5"/>
  <c r="A11" i="5"/>
  <c r="A9" i="5"/>
  <c r="A7" i="5"/>
  <c r="A5" i="5"/>
  <c r="A81" i="6"/>
  <c r="A79" i="6"/>
  <c r="A77" i="6"/>
  <c r="A75" i="6"/>
  <c r="A73" i="6"/>
  <c r="A71" i="6"/>
  <c r="A69" i="6"/>
  <c r="A67" i="6"/>
  <c r="A65" i="6"/>
  <c r="A63" i="6"/>
  <c r="A61" i="6"/>
  <c r="A59" i="6"/>
  <c r="A57" i="6"/>
  <c r="A55" i="6"/>
  <c r="A53" i="6"/>
  <c r="A51" i="6"/>
  <c r="A49" i="6"/>
  <c r="A47" i="6"/>
  <c r="A45" i="6"/>
  <c r="A43" i="6"/>
  <c r="A41" i="6"/>
  <c r="A39" i="6"/>
  <c r="A37" i="6"/>
  <c r="A35" i="6"/>
  <c r="A33" i="6"/>
  <c r="A31" i="6"/>
  <c r="A29" i="6"/>
  <c r="A27" i="6"/>
  <c r="A25" i="6"/>
  <c r="A23" i="6"/>
  <c r="A21" i="6"/>
  <c r="A19" i="6"/>
  <c r="A17" i="6"/>
  <c r="A15" i="6"/>
  <c r="A13" i="6"/>
  <c r="A11" i="6"/>
  <c r="A9" i="6"/>
  <c r="A7" i="6"/>
  <c r="A5" i="6"/>
  <c r="A3" i="6"/>
  <c r="A81" i="9"/>
  <c r="A79" i="9"/>
  <c r="A77" i="9"/>
  <c r="A75" i="9"/>
  <c r="A73" i="9"/>
  <c r="A71" i="9"/>
  <c r="A69" i="9"/>
  <c r="A67" i="9"/>
  <c r="A65" i="9"/>
  <c r="A63" i="9"/>
  <c r="A61" i="9"/>
  <c r="A59" i="9"/>
  <c r="A57" i="9"/>
  <c r="A55" i="9"/>
  <c r="A53" i="9"/>
  <c r="A51" i="9"/>
  <c r="A49" i="9"/>
  <c r="A47" i="9"/>
  <c r="A45" i="9"/>
  <c r="A43" i="9"/>
  <c r="A41" i="9"/>
  <c r="A39" i="9"/>
  <c r="A37" i="9"/>
  <c r="A35" i="9"/>
  <c r="A33" i="9"/>
  <c r="A31" i="9"/>
  <c r="A29" i="9"/>
  <c r="A27" i="9"/>
  <c r="A25" i="9"/>
  <c r="A23" i="9"/>
  <c r="A21" i="9"/>
  <c r="A19" i="9"/>
  <c r="A17" i="9"/>
  <c r="A15" i="9"/>
  <c r="A13" i="9"/>
  <c r="A11" i="9"/>
  <c r="A9" i="9"/>
  <c r="A7" i="9"/>
  <c r="A5" i="9"/>
  <c r="A3" i="9"/>
  <c r="A81" i="10"/>
  <c r="A79" i="10"/>
  <c r="A77" i="10"/>
  <c r="A75" i="10"/>
  <c r="A73" i="10"/>
  <c r="A71" i="10"/>
  <c r="A69" i="10"/>
  <c r="A67" i="10"/>
  <c r="A65" i="10"/>
  <c r="A63" i="10"/>
  <c r="A61" i="10"/>
  <c r="A59" i="10"/>
  <c r="A57" i="10"/>
  <c r="A55" i="10"/>
  <c r="A53" i="10"/>
  <c r="A51" i="10"/>
  <c r="A49" i="10"/>
  <c r="A47" i="10"/>
  <c r="A45" i="10"/>
  <c r="A43" i="10"/>
  <c r="A41" i="10"/>
  <c r="A39" i="10"/>
  <c r="A37" i="10"/>
  <c r="A35" i="10"/>
  <c r="A33" i="10"/>
  <c r="A31" i="10"/>
  <c r="A29" i="10"/>
  <c r="A27" i="10"/>
  <c r="A25" i="10"/>
  <c r="A23" i="10"/>
  <c r="A21" i="10"/>
  <c r="A19" i="10"/>
  <c r="A17" i="10"/>
  <c r="A15" i="10"/>
  <c r="A13" i="10"/>
  <c r="A11" i="10"/>
  <c r="A9" i="10"/>
  <c r="A7" i="10"/>
  <c r="A5" i="10"/>
  <c r="A3" i="10"/>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8" i="9"/>
  <c r="H7" i="9"/>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K7" i="2"/>
  <c r="K8"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9" i="2"/>
  <c r="K10" i="2"/>
  <c r="K11" i="2"/>
  <c r="K12" i="2"/>
  <c r="K13" i="2"/>
  <c r="K14" i="2"/>
  <c r="K15" i="2"/>
  <c r="K16" i="2"/>
  <c r="K17" i="2"/>
  <c r="K18" i="2"/>
  <c r="K19" i="2"/>
  <c r="K20" i="2"/>
  <c r="K21"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K3" i="11"/>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7" i="2"/>
  <c r="G28" i="11"/>
  <c r="F11" i="11"/>
  <c r="R5" i="11"/>
  <c r="F26" i="11"/>
  <c r="B4" i="10"/>
  <c r="E4" i="10"/>
  <c r="F4" i="10"/>
  <c r="B5" i="10"/>
  <c r="E5" i="10"/>
  <c r="F5" i="10"/>
  <c r="B6" i="10"/>
  <c r="E6" i="10"/>
  <c r="F6" i="10"/>
  <c r="B7" i="10"/>
  <c r="E7" i="10"/>
  <c r="F7" i="10"/>
  <c r="B8" i="10"/>
  <c r="E8" i="10"/>
  <c r="F8" i="10"/>
  <c r="B9" i="10"/>
  <c r="E9" i="10"/>
  <c r="F9" i="10"/>
  <c r="B10" i="10"/>
  <c r="E10" i="10"/>
  <c r="F10" i="10"/>
  <c r="B11" i="10"/>
  <c r="E11" i="10"/>
  <c r="F11" i="10"/>
  <c r="B12" i="10"/>
  <c r="E12" i="10"/>
  <c r="F12" i="10"/>
  <c r="B13" i="10"/>
  <c r="E13" i="10"/>
  <c r="F13" i="10"/>
  <c r="B14" i="10"/>
  <c r="E14" i="10"/>
  <c r="F14" i="10"/>
  <c r="B15" i="10"/>
  <c r="E15" i="10"/>
  <c r="F15" i="10"/>
  <c r="B16" i="10"/>
  <c r="E16" i="10"/>
  <c r="F16" i="10"/>
  <c r="B17" i="10"/>
  <c r="E17" i="10"/>
  <c r="F17" i="10"/>
  <c r="B18" i="10"/>
  <c r="E18" i="10"/>
  <c r="F18" i="10"/>
  <c r="B19" i="10"/>
  <c r="E19" i="10"/>
  <c r="F19" i="10"/>
  <c r="B20" i="10"/>
  <c r="E20" i="10"/>
  <c r="F20" i="10"/>
  <c r="B21" i="10"/>
  <c r="E21" i="10"/>
  <c r="F21" i="10"/>
  <c r="B22" i="10"/>
  <c r="E22" i="10"/>
  <c r="F22" i="10"/>
  <c r="B23" i="10"/>
  <c r="E23" i="10"/>
  <c r="F23" i="10"/>
  <c r="B24" i="10"/>
  <c r="E24" i="10"/>
  <c r="F24" i="10"/>
  <c r="B25" i="10"/>
  <c r="E25" i="10"/>
  <c r="F25" i="10"/>
  <c r="B26" i="10"/>
  <c r="E26" i="10"/>
  <c r="F26" i="10"/>
  <c r="B27" i="10"/>
  <c r="E27" i="10"/>
  <c r="F27" i="10"/>
  <c r="B28" i="10"/>
  <c r="E28" i="10"/>
  <c r="F28" i="10"/>
  <c r="B29" i="10"/>
  <c r="E29" i="10"/>
  <c r="F29" i="10"/>
  <c r="B30" i="10"/>
  <c r="E30" i="10"/>
  <c r="F30" i="10"/>
  <c r="B31" i="10"/>
  <c r="E31" i="10"/>
  <c r="F31" i="10"/>
  <c r="B32" i="10"/>
  <c r="E32" i="10"/>
  <c r="F32" i="10"/>
  <c r="B33" i="10"/>
  <c r="E33" i="10"/>
  <c r="F33" i="10"/>
  <c r="B34" i="10"/>
  <c r="E34" i="10"/>
  <c r="F34" i="10"/>
  <c r="B35" i="10"/>
  <c r="E35" i="10"/>
  <c r="F35" i="10"/>
  <c r="B36" i="10"/>
  <c r="E36" i="10"/>
  <c r="F36" i="10"/>
  <c r="B37" i="10"/>
  <c r="E37" i="10"/>
  <c r="F37" i="10"/>
  <c r="B38" i="10"/>
  <c r="E38" i="10"/>
  <c r="F38" i="10"/>
  <c r="B39" i="10"/>
  <c r="E39" i="10"/>
  <c r="F39" i="10"/>
  <c r="B40" i="10"/>
  <c r="E40" i="10"/>
  <c r="F40" i="10"/>
  <c r="B41" i="10"/>
  <c r="E41" i="10"/>
  <c r="F41" i="10"/>
  <c r="B42" i="10"/>
  <c r="E42" i="10"/>
  <c r="F42" i="10"/>
  <c r="B43" i="10"/>
  <c r="E43" i="10"/>
  <c r="F43" i="10"/>
  <c r="B44" i="10"/>
  <c r="E44" i="10"/>
  <c r="F44" i="10"/>
  <c r="B45" i="10"/>
  <c r="E45" i="10"/>
  <c r="F45" i="10"/>
  <c r="B46" i="10"/>
  <c r="E46" i="10"/>
  <c r="F46" i="10"/>
  <c r="B47" i="10"/>
  <c r="E47" i="10"/>
  <c r="F47" i="10"/>
  <c r="B48" i="10"/>
  <c r="E48" i="10"/>
  <c r="F48" i="10"/>
  <c r="B49" i="10"/>
  <c r="E49" i="10"/>
  <c r="F49" i="10"/>
  <c r="B50" i="10"/>
  <c r="E50" i="10"/>
  <c r="F50" i="10"/>
  <c r="B51" i="10"/>
  <c r="E51" i="10"/>
  <c r="F51" i="10"/>
  <c r="B52" i="10"/>
  <c r="E52" i="10"/>
  <c r="F52" i="10"/>
  <c r="B53" i="10"/>
  <c r="E53" i="10"/>
  <c r="F53" i="10"/>
  <c r="B54" i="10"/>
  <c r="E54" i="10"/>
  <c r="F54" i="10"/>
  <c r="B55" i="10"/>
  <c r="E55" i="10"/>
  <c r="F55" i="10"/>
  <c r="B56" i="10"/>
  <c r="E56" i="10"/>
  <c r="F56" i="10"/>
  <c r="B57" i="10"/>
  <c r="E57" i="10"/>
  <c r="F57" i="10"/>
  <c r="B58" i="10"/>
  <c r="E58" i="10"/>
  <c r="F58" i="10"/>
  <c r="B59" i="10"/>
  <c r="E59" i="10"/>
  <c r="F59" i="10"/>
  <c r="B60" i="10"/>
  <c r="E60" i="10"/>
  <c r="F60" i="10"/>
  <c r="B61" i="10"/>
  <c r="E61" i="10"/>
  <c r="F61" i="10"/>
  <c r="B62" i="10"/>
  <c r="E62" i="10"/>
  <c r="F62" i="10"/>
  <c r="B63" i="10"/>
  <c r="E63" i="10"/>
  <c r="F63" i="10"/>
  <c r="B64" i="10"/>
  <c r="E64" i="10"/>
  <c r="F64" i="10"/>
  <c r="B65" i="10"/>
  <c r="E65" i="10"/>
  <c r="F65" i="10"/>
  <c r="B66" i="10"/>
  <c r="E66" i="10"/>
  <c r="F66" i="10"/>
  <c r="B67" i="10"/>
  <c r="E67" i="10"/>
  <c r="F67" i="10"/>
  <c r="B68" i="10"/>
  <c r="E68" i="10"/>
  <c r="F68" i="10"/>
  <c r="B69" i="10"/>
  <c r="E69" i="10"/>
  <c r="F69" i="10"/>
  <c r="B70" i="10"/>
  <c r="E70" i="10"/>
  <c r="F70" i="10"/>
  <c r="B71" i="10"/>
  <c r="E71" i="10"/>
  <c r="F71" i="10"/>
  <c r="B72" i="10"/>
  <c r="E72" i="10"/>
  <c r="F72" i="10"/>
  <c r="B73" i="10"/>
  <c r="E73" i="10"/>
  <c r="F73" i="10"/>
  <c r="B74" i="10"/>
  <c r="E74" i="10"/>
  <c r="F74" i="10"/>
  <c r="B75" i="10"/>
  <c r="E75" i="10"/>
  <c r="F75" i="10"/>
  <c r="B76" i="10"/>
  <c r="E76" i="10"/>
  <c r="F76" i="10"/>
  <c r="B77" i="10"/>
  <c r="E77" i="10"/>
  <c r="F77" i="10"/>
  <c r="B78" i="10"/>
  <c r="E78" i="10"/>
  <c r="F78" i="10"/>
  <c r="B79" i="10"/>
  <c r="E79" i="10"/>
  <c r="F79" i="10"/>
  <c r="B80" i="10"/>
  <c r="E80" i="10"/>
  <c r="F80" i="10"/>
  <c r="B81" i="10"/>
  <c r="E81" i="10"/>
  <c r="F81" i="10"/>
  <c r="B82" i="10"/>
  <c r="E82" i="10"/>
  <c r="F82" i="10"/>
  <c r="B3" i="10"/>
  <c r="E3" i="10"/>
  <c r="F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3" i="10"/>
  <c r="AC23" i="2"/>
  <c r="AC24" i="2"/>
  <c r="I3"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F12" i="11"/>
  <c r="F13" i="11"/>
  <c r="F14" i="11"/>
  <c r="F15" i="11"/>
  <c r="F16" i="11"/>
  <c r="F17" i="11"/>
  <c r="F18" i="11"/>
  <c r="F19" i="11"/>
  <c r="F20" i="11"/>
  <c r="F21" i="11"/>
  <c r="F22" i="11"/>
  <c r="F23" i="11"/>
  <c r="F24" i="11"/>
  <c r="F25" i="11"/>
  <c r="F27" i="11"/>
  <c r="F28" i="11"/>
  <c r="F29" i="11"/>
  <c r="G29" i="11"/>
  <c r="F30" i="11"/>
  <c r="G30" i="11"/>
  <c r="F31" i="11"/>
  <c r="G31" i="11"/>
  <c r="F32" i="11"/>
  <c r="G32" i="11"/>
  <c r="F33" i="11"/>
  <c r="G33" i="11"/>
  <c r="F34" i="11"/>
  <c r="G34" i="11"/>
  <c r="F35" i="11"/>
  <c r="G35" i="11"/>
  <c r="F36" i="11"/>
  <c r="G36" i="11"/>
  <c r="F37" i="11"/>
  <c r="G37" i="11"/>
  <c r="F38" i="11"/>
  <c r="G38" i="11"/>
  <c r="F39" i="11"/>
  <c r="F40" i="11"/>
  <c r="G40" i="11"/>
  <c r="F41" i="11"/>
  <c r="G41" i="11"/>
  <c r="F42" i="11"/>
  <c r="F43" i="11"/>
  <c r="G43" i="11"/>
  <c r="F44" i="11"/>
  <c r="G44" i="11"/>
  <c r="F45" i="11"/>
  <c r="G45" i="11"/>
  <c r="F46" i="11"/>
  <c r="G46" i="11"/>
  <c r="F47" i="11"/>
  <c r="G47" i="11"/>
  <c r="F48" i="11"/>
  <c r="G48" i="11"/>
  <c r="F49" i="11"/>
  <c r="G49" i="11"/>
  <c r="F50" i="11"/>
  <c r="G50" i="11"/>
  <c r="F51" i="11"/>
  <c r="G51" i="11"/>
  <c r="F52" i="11"/>
  <c r="G52" i="11"/>
  <c r="F53" i="11"/>
  <c r="G53" i="11"/>
  <c r="F54" i="11"/>
  <c r="G54" i="11"/>
  <c r="F55" i="11"/>
  <c r="G55" i="11"/>
  <c r="F56" i="11"/>
  <c r="G56" i="11"/>
  <c r="F57" i="11"/>
  <c r="G57" i="11"/>
  <c r="F58" i="11"/>
  <c r="G58" i="11"/>
  <c r="F59" i="11"/>
  <c r="G59" i="11"/>
  <c r="F60" i="11"/>
  <c r="G60" i="11"/>
  <c r="F61" i="11"/>
  <c r="G61" i="11"/>
  <c r="F62" i="11"/>
  <c r="G62" i="11"/>
  <c r="F63" i="11"/>
  <c r="G63" i="11"/>
  <c r="F64" i="11"/>
  <c r="G64" i="11"/>
  <c r="F65" i="11"/>
  <c r="G65" i="11"/>
  <c r="F66" i="11"/>
  <c r="G66" i="11"/>
  <c r="F67" i="11"/>
  <c r="G67" i="11"/>
  <c r="F68" i="11"/>
  <c r="G68" i="11"/>
  <c r="F69" i="11"/>
  <c r="G69" i="11"/>
  <c r="F70" i="11"/>
  <c r="G70" i="11"/>
  <c r="F71" i="11"/>
  <c r="G71" i="11"/>
  <c r="F72" i="11"/>
  <c r="G72" i="11"/>
  <c r="F73" i="11"/>
  <c r="G73" i="11"/>
  <c r="F74" i="11"/>
  <c r="G74" i="11"/>
  <c r="F75" i="11"/>
  <c r="G75" i="11"/>
  <c r="F76" i="11"/>
  <c r="G76" i="11"/>
  <c r="F77" i="11"/>
  <c r="G77" i="11"/>
  <c r="F78" i="11"/>
  <c r="G78" i="11"/>
  <c r="F79" i="11"/>
  <c r="G79" i="11"/>
  <c r="F80" i="11"/>
  <c r="G80" i="11"/>
  <c r="F81" i="11"/>
  <c r="G81" i="11"/>
  <c r="F82" i="11"/>
  <c r="G82" i="11"/>
  <c r="F83" i="11"/>
  <c r="G83" i="11"/>
  <c r="F84" i="11"/>
  <c r="G84" i="11"/>
  <c r="F85" i="11"/>
  <c r="G85" i="11"/>
  <c r="F86" i="11"/>
  <c r="G86" i="11"/>
  <c r="F87" i="11"/>
  <c r="G87" i="11"/>
  <c r="F88" i="11"/>
  <c r="G88" i="11"/>
  <c r="F89" i="11"/>
  <c r="G89" i="11"/>
  <c r="F9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AC25" i="2"/>
  <c r="AC86" i="2"/>
  <c r="AC85" i="2"/>
  <c r="AC84" i="2"/>
  <c r="AC83" i="2"/>
  <c r="AC82" i="2"/>
  <c r="AC81" i="2"/>
  <c r="AC80" i="2"/>
  <c r="AC79" i="2"/>
  <c r="AC78" i="2"/>
  <c r="AC7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U11" i="11"/>
  <c r="T11" i="11"/>
</calcChain>
</file>

<file path=xl/sharedStrings.xml><?xml version="1.0" encoding="utf-8"?>
<sst xmlns="http://schemas.openxmlformats.org/spreadsheetml/2006/main" count="254" uniqueCount="124">
  <si>
    <t>Table No.</t>
  </si>
  <si>
    <t>Player No.</t>
  </si>
  <si>
    <t>Player Name</t>
  </si>
  <si>
    <t>Kill Points</t>
  </si>
  <si>
    <t>TP</t>
  </si>
  <si>
    <t>Bonus TP</t>
  </si>
  <si>
    <t>ROUND 1</t>
  </si>
  <si>
    <t>Player No. (Local)</t>
  </si>
  <si>
    <t>Player No. (Global)</t>
  </si>
  <si>
    <t>Email</t>
  </si>
  <si>
    <t>Faction</t>
  </si>
  <si>
    <t>RACES</t>
  </si>
  <si>
    <t>UCM</t>
  </si>
  <si>
    <t>Scourge</t>
  </si>
  <si>
    <t>PHR</t>
  </si>
  <si>
    <t>Shaltari</t>
  </si>
  <si>
    <t>KP DIF</t>
  </si>
  <si>
    <t>Neg/Pos</t>
  </si>
  <si>
    <t>TP DIF</t>
  </si>
  <si>
    <t>KP Mod?</t>
  </si>
  <si>
    <t>Team Name</t>
  </si>
  <si>
    <t>Accumulative</t>
  </si>
  <si>
    <t>Points Limit:</t>
  </si>
  <si>
    <t>EVENT NAME:</t>
  </si>
  <si>
    <t>ROUND 2</t>
  </si>
  <si>
    <t>Opponent</t>
  </si>
  <si>
    <t>Team</t>
  </si>
  <si>
    <t>TOTAL</t>
  </si>
  <si>
    <t>TIE BREAKER</t>
  </si>
  <si>
    <t>RANK</t>
  </si>
  <si>
    <t>ROUND 3</t>
  </si>
  <si>
    <t>ROUND 4</t>
  </si>
  <si>
    <t>ROUND 5</t>
  </si>
  <si>
    <t>Tier:</t>
  </si>
  <si>
    <t>No. of Rounds:</t>
  </si>
  <si>
    <t># OF ROUNDS</t>
  </si>
  <si>
    <t>TIER</t>
  </si>
  <si>
    <t>Placing</t>
  </si>
  <si>
    <t>KP</t>
  </si>
  <si>
    <t>Opponents Played</t>
  </si>
  <si>
    <t>Points Per Round</t>
  </si>
  <si>
    <t>TIE BREAK</t>
  </si>
  <si>
    <t>SCOURGE</t>
  </si>
  <si>
    <t>Best in Faction</t>
  </si>
  <si>
    <t>Most Sporting</t>
  </si>
  <si>
    <t>Best Painted Army</t>
  </si>
  <si>
    <t>Wooden Spoon</t>
  </si>
  <si>
    <t>Other Awards</t>
  </si>
  <si>
    <t>Unranked</t>
  </si>
  <si>
    <t>Teams</t>
  </si>
  <si>
    <t>Total Score</t>
  </si>
  <si>
    <t>Rank</t>
  </si>
  <si>
    <t>Best Team</t>
  </si>
  <si>
    <t>1st</t>
  </si>
  <si>
    <t>2nd</t>
  </si>
  <si>
    <t>3rd</t>
  </si>
  <si>
    <t>SHALTARI</t>
  </si>
  <si>
    <t>RESISTANCE</t>
  </si>
  <si>
    <t>ID</t>
  </si>
  <si>
    <t>Tournament Preparations - Filling out your event and player details</t>
  </si>
  <si>
    <r>
      <rPr>
        <b/>
        <sz val="11"/>
        <color theme="1"/>
        <rFont val="Calibri"/>
        <family val="2"/>
      </rPr>
      <t xml:space="preserve">● </t>
    </r>
    <r>
      <rPr>
        <b/>
        <sz val="11"/>
        <color theme="1"/>
        <rFont val="Calibri"/>
        <family val="2"/>
        <scheme val="minor"/>
      </rPr>
      <t>Event Name</t>
    </r>
  </si>
  <si>
    <t>● Tier</t>
  </si>
  <si>
    <t>● Points Limit</t>
  </si>
  <si>
    <t>● No. of Rounds</t>
  </si>
  <si>
    <r>
      <rPr>
        <b/>
        <sz val="11"/>
        <color theme="1"/>
        <rFont val="Calibri"/>
        <family val="2"/>
      </rPr>
      <t xml:space="preserve">● </t>
    </r>
    <r>
      <rPr>
        <b/>
        <sz val="11"/>
        <color theme="1"/>
        <rFont val="Calibri"/>
        <family val="2"/>
        <scheme val="minor"/>
      </rPr>
      <t>Player No. (Local)</t>
    </r>
  </si>
  <si>
    <r>
      <rPr>
        <b/>
        <sz val="11"/>
        <color theme="1"/>
        <rFont val="Calibri"/>
        <family val="2"/>
      </rPr>
      <t xml:space="preserve">● </t>
    </r>
    <r>
      <rPr>
        <b/>
        <sz val="11"/>
        <color theme="1"/>
        <rFont val="Calibri"/>
        <family val="2"/>
        <scheme val="minor"/>
      </rPr>
      <t>Player No. (Global)</t>
    </r>
  </si>
  <si>
    <r>
      <rPr>
        <b/>
        <sz val="11"/>
        <color theme="1"/>
        <rFont val="Calibri"/>
        <family val="2"/>
      </rPr>
      <t xml:space="preserve">● </t>
    </r>
    <r>
      <rPr>
        <b/>
        <sz val="11"/>
        <color theme="1"/>
        <rFont val="Calibri"/>
        <family val="2"/>
        <scheme val="minor"/>
      </rPr>
      <t>Email</t>
    </r>
  </si>
  <si>
    <r>
      <rPr>
        <b/>
        <sz val="11"/>
        <color theme="1"/>
        <rFont val="Calibri"/>
        <family val="2"/>
      </rPr>
      <t xml:space="preserve">● </t>
    </r>
    <r>
      <rPr>
        <b/>
        <sz val="11"/>
        <color theme="1"/>
        <rFont val="Calibri"/>
        <family val="2"/>
        <scheme val="minor"/>
      </rPr>
      <t>Player Name</t>
    </r>
  </si>
  <si>
    <t>● Team Name</t>
  </si>
  <si>
    <t>● Faction</t>
  </si>
  <si>
    <t>Tracking Tournament Results</t>
  </si>
  <si>
    <r>
      <rPr>
        <b/>
        <sz val="11"/>
        <color theme="1"/>
        <rFont val="Calibri"/>
        <family val="2"/>
      </rPr>
      <t xml:space="preserve">● </t>
    </r>
    <r>
      <rPr>
        <b/>
        <sz val="11"/>
        <color theme="1"/>
        <rFont val="Calibri"/>
        <family val="2"/>
        <scheme val="minor"/>
      </rPr>
      <t>Table No.</t>
    </r>
  </si>
  <si>
    <r>
      <rPr>
        <b/>
        <sz val="11"/>
        <color theme="1"/>
        <rFont val="Calibri"/>
        <family val="2"/>
      </rPr>
      <t xml:space="preserve">● </t>
    </r>
    <r>
      <rPr>
        <b/>
        <sz val="11"/>
        <color theme="1"/>
        <rFont val="Calibri"/>
        <family val="2"/>
        <scheme val="minor"/>
      </rPr>
      <t>Player No.</t>
    </r>
  </si>
  <si>
    <r>
      <rPr>
        <b/>
        <sz val="11"/>
        <color theme="1"/>
        <rFont val="Calibri"/>
        <family val="2"/>
      </rPr>
      <t xml:space="preserve">● </t>
    </r>
    <r>
      <rPr>
        <b/>
        <sz val="11"/>
        <color theme="1"/>
        <rFont val="Calibri"/>
        <family val="2"/>
        <scheme val="minor"/>
      </rPr>
      <t>Team</t>
    </r>
  </si>
  <si>
    <r>
      <rPr>
        <b/>
        <sz val="11"/>
        <color theme="1"/>
        <rFont val="Calibri"/>
        <family val="2"/>
      </rPr>
      <t xml:space="preserve">● </t>
    </r>
    <r>
      <rPr>
        <b/>
        <sz val="11"/>
        <color theme="1"/>
        <rFont val="Calibri"/>
        <family val="2"/>
        <scheme val="minor"/>
      </rPr>
      <t>TP</t>
    </r>
  </si>
  <si>
    <t>● Kill Points</t>
  </si>
  <si>
    <t>The Final Results</t>
  </si>
  <si>
    <t>Once all the results for every round has been completed, the final results for the tournament will be listed in the "Final Results" tab. Here you will be able to see the ranking for every player in your tournament from first to last place (the first three places have been marked in gold, silver and bronze for reference where any awards relating to the top players are given) as well as, where applicable that player's global player number, faction and team name, plus the Tournament and Kill Points earned by each player on both a round by round basis and in total.
At the top of the sheet, you will also find the winners of various awards, including best player in each faction, the most sporting player, the player with the best painted army, the best team (calculated using the sum total of the best 3 players in that team as per official Hawk Wargames tournaments) and the wooden spoon (last place). Of these, the most sporting player and best painted army categories are the only fields in the tab that are not locked due to the nature of these awards and a dropdown menu has been provided where tournament organisers can select the relevant player for each of these. Whilst it is not mandatory for tournament organisers to give these awards out at events, they have been included for your convenience should you need them.</t>
  </si>
  <si>
    <t>Final Notes - A few things to bare in mind!</t>
  </si>
  <si>
    <t>● Updating Speeds</t>
  </si>
  <si>
    <t>● Dropdown Menus</t>
  </si>
  <si>
    <t>● Did we miss anything?</t>
  </si>
  <si>
    <t>Before anything else you will need to fill out your event details in the Tournament Details tab below, especially if you intend to submit your results to the Hawk Wargames team to be added in the official global ranking system! If not then you may treat the top four fields of this tab as optional. You can find a brief explanation of these fields below:</t>
  </si>
  <si>
    <t>Once you have filled out your event details you will then need to fill out your player details in the form located in the main body of the page. Whilst most of the fields displayed here are optional for standalone tournaments, it is recommended that tournament organisers fill out the Player No. (Global) or, if unavailable or unknown the email address for every player partaking in the tournament if you wish to submit your results to the global ranking system. A brief explanation of each field can be found below:</t>
  </si>
  <si>
    <t>Once your event and player details have been entered in the Tournament Details tab, you are ready to begin your tournament!</t>
  </si>
  <si>
    <t>In this document you will find 5 tabs below labelled Rounds 1-5. In these tabs you will be able to track the results for each player as your tournament progresses. Most of the processes for these sheets are automated and will require minimal input on the tournament organiser's behalf. As the information is completed for each round, the next round will automatically be filled in, matching each player with another player that is as close to their ranking as possible. As with the previous section in these instructions, an explanation for each field has been provided below:</t>
  </si>
  <si>
    <t>:</t>
  </si>
  <si>
    <t>Dropdown Menu. This is used for the Hawk Wargames global ranking system. If you are unsure of your event's tier, or your event is not being submitted to the global ranking system, select "Unranked".</t>
  </si>
  <si>
    <t>Dropdown Menu. This is the total number of games each player will participate in. This will generally be 3 for day tournaments or 5 for weekend tournaments, however any number of games between 1 and 5 have been including for less common types of tournament. Please note that the final results tab will only take into the consideration the number of rounds listed here.</t>
  </si>
  <si>
    <t>Locked Field. This number is automatically assigned to a player once they have been added to your list and is used as a unique tag to identify individual players.</t>
  </si>
  <si>
    <t>A player's unique number on the global ranking system. If you plan to send your tournament results to Hawk Wargames for inclusion on the global ranking system, this number will help our team quickly locate each player so that any points awarded are added to their standing. If a player is not already included on the global ranking system then they will have a unique global player number generated and will be added on the global ranking system for both Dropzone and Dropfleet Commander. If a player is unsure of their global player number or would like to know if they have one, please advise them to email the Hawk Wargames team at info@hawkwargames.com.</t>
  </si>
  <si>
    <t>Mandatory Field. This is where you fill out each player's name or nickname. It is important that the first player is added to the topmost row on this table and that there are no gaps between players as this will cause random gaps in rankings (you have been warned!).</t>
  </si>
  <si>
    <t>A player's email address. If a player's global player number is absent then this will be used to search for players on the global ranking system and any players on the global ranking system without an email will have this information added. Please note that Hawk Wargames are committed to maintaining customer privacy and as such email  addresses will only ever be used for tournament newsletters and never given to a third party.</t>
  </si>
  <si>
    <t>Dropdown Menu. If a player belongs to a team you can use the dropdown menu here to add this information. To add a team to the dropdown menu, simply add the team name to the "Teams" field located to the right hand side of the form.</t>
  </si>
  <si>
    <t>The faction the player is using for the tournament. Whilst this is an optional field, this is used to calculate best in faction standings in both the Final Results tab and, if submitting results to the global ranking system, the best in faction standing for this as well.</t>
  </si>
  <si>
    <t>This is the local player number for the relevant player on a table. Whilst players will automatically be assigned to tables based on their standing for each round, this field has been left unlocked for tournament organisers in case of repeat match ups, players on the same team (see below for more details on these), odd number of players etc. Where this is the case, simply type the player number for the player you wish to move to the corresponding table. Please be advised however that as these cells contain formulas to automatically assign players, typing a new number into one of these fields will overwrite this formula completely, as such it is recommended to save your spreadsheet prior to making any changes here.</t>
  </si>
  <si>
    <t>Locked Field. This is the team that the corresponding player is apart of and updates in accordance to the player number assigned.</t>
  </si>
  <si>
    <t>Locked Field. This is the name of the corresponding player and updates in accordance to the player number assigned.</t>
  </si>
  <si>
    <t>This is where the tournament organiser enters the number of Kill Points earned by a player each round.</t>
  </si>
  <si>
    <t>If this document is missing any details you believe should be added, e.g. more players, missing factions etc. please let us know by emailing us at info@hawkwargames.com!</t>
  </si>
  <si>
    <t>Some dropdown menus do not have blank options due to how some formulas work. If you accidentally fill in one of these fields and you wish for it to be blank, simply highlight the relevant field and press delete to remove the option chosen.</t>
  </si>
  <si>
    <t>This document contains many complex formulas and codes that work out all automated fields, as such do not be alarmed if some fields take a few moments to update.</t>
  </si>
  <si>
    <t>Locked Field. This is the table number for each match up. This field is automatically updated when a table has two players, it will not update if only a single player is present. Where this is the case, an "odd man" (i.e. a member of the event's team) should be included to make up the numbers. Tournament organisers can instead opt to have a player sit out every round, however this is not recommended and will not be counted for submissions to global rankings. If you do decide to go this route, it is advised that the tournament organiser review their players each round for who sits out as the bottom ranking player will always be fill this spot otherwise and will never have a chance to go up in ranking.</t>
  </si>
  <si>
    <r>
      <rPr>
        <b/>
        <sz val="11"/>
        <color theme="1"/>
        <rFont val="Calibri"/>
        <family val="2"/>
      </rPr>
      <t xml:space="preserve">● </t>
    </r>
    <r>
      <rPr>
        <b/>
        <sz val="11"/>
        <color theme="1"/>
        <rFont val="Calibri"/>
        <family val="2"/>
        <scheme val="minor"/>
      </rPr>
      <t>Duplicate Player</t>
    </r>
  </si>
  <si>
    <t>● No Opponent</t>
  </si>
  <si>
    <t>● Repeat Matchup</t>
  </si>
  <si>
    <t>● Same Team</t>
  </si>
  <si>
    <t>● Exclamation Mark (!)</t>
  </si>
  <si>
    <t xml:space="preserve">In addition, you will sometimes notice one (or two) of five possible error notifications appear to the right of some rows. Below is a list of the errors that may appear during the course of your tournament along with their meanings and how to fix them:
</t>
  </si>
  <si>
    <t>Where this error is present, the corresponding player appears multiple times in a round. This most commonly appears whilst swapping players manually due to repeat matchups, players on the same team etc. however, this may also appear in very rare instances due to automated player calculation errors. Where this is the case, tournament organisers will need to check for any players that are missing and manually replace duplicate entries with the missing player's ID as explained under "Player No." above.</t>
  </si>
  <si>
    <t>Players who have this error appear by their entry in a round does not have an opponent to play against. This can because of an odd number of players present in a tournament or due to irratic gaps between players in the Tournament Details tab (we did warn you!). If it is due to the latter then tournament organisers will need to reorganise their players in the Tournament Details tab as described under "Player No. (Local)" above, however if it is due to odd numbers then an odd man will need to be allocated (as described under "Table No." above) or the player in question will need to sit out.</t>
  </si>
  <si>
    <t>Inevitably, as a tournament progresses the chances of two players being matched against each other a second time increases. Where this is the case, this error will show by both player entries. To resolve this, tournament organisers will need to manually swap players around as explained under "Player No." above. If a tournament allows for repeat matches, then you may ignore this error.</t>
  </si>
  <si>
    <t>Sometimes players who are part of the same team will be matched against each other. Where this is the case, this error will show by the relevant players. This can be resolved in exactly the same fashion as the "Repeat Matchup" error. Tournament organisers are also advised not to place teammates adjacent to each other in the Tournament Details tab as players are matched by player number in the first round (e.g. if players 1 and 2 are part of the same team, they will automatically be matched against each other in the first round). If a tournament allows for players on the same team playing against each other, then you may ignore this error.</t>
  </si>
  <si>
    <t>In addition to the errors detailed above, a player entry may have a red exclamation mark appear by their Final TP values in a round. This will appear in two instance, 1) a player's basic tournament points (i.e. prior to modifiers for kill points) is either above 16 or below 4 or 2) the combined total for both players final tournament points on a table in a round (after modifiers for kill points) does not equal 20. Where this is the case, tournament organisers are advised to resolve such inconsistancies as best they can. This is the only error that can appear alongside the errors listed above.</t>
  </si>
  <si>
    <t>With the exception of the "No Opponent" error and the exclamation mark, all the errors listed above will be accompanied with a list of player numbers that the corresponding player has already been matched against. This is intended to make it easier for tournament organisers to avoid repeat matchups when manually switching players. In addition, a text box has been included at the top right of each round's sheet to help tournament organisers plan player swaps without losing track of player numbers.
Once all the relevant data for a round has been input, the next round will be set up automatically in ranking order. Repeat this process with every round until all rounds have been completed. Remember that a round will not be taken into account in the final results unless the "No. of Rounds" listed in the Tournament Details tab is equal to or above the round number in question.</t>
  </si>
  <si>
    <t>NOTES</t>
  </si>
  <si>
    <t>Thank you for downloading the official Hawk Wargames Dropfleet Commander Tournament Record Sheet. In this spreadsheet you will find all the necessary tools required to track and organise your own Dropfleet Commander tournament with minimal hassle. Whether you are new to running your own event or a veteran tournament organiser, you'll find everything you will need in this document including round by round tournament standings, repeat match up alerts, automated award distributions and, of course the final rankings. This document is also coded to automatically calculate tournament points modifiers as per the official Dropfleet Commander Tournament Pack for each round, as well as placing all players in order of ranking every round, making your job easier and more efficient than ever!
Below you will find full instructions on how to use this workbook as well as an explanation of the automated functions contained within. This record sheet is suitable for up to 80 players. If you require a sheet that caters for more players or you are experiencing issues with your tournament record sheet, please email us at info@hawkwargames.com and we will look into resolving your issue as soon as possible.</t>
  </si>
  <si>
    <t>Your event name, e.g. Dropfleet London Invasion 2017.</t>
  </si>
  <si>
    <t>This is where the tournament organiser enters the number of Tournament Points earned by a player each round. As per the official Hawk Wargames tournament pack, players should calculate their Kill Points and apply any modifiers prior to submitting their final Tournament Points score.</t>
  </si>
  <si>
    <t>The points limit for your tournament. The default for this is 1250 as per standard tournament quota.</t>
  </si>
  <si>
    <t>Total TP</t>
  </si>
  <si>
    <t>Total</t>
  </si>
  <si>
    <t>1st Choice</t>
  </si>
  <si>
    <t>2nd Choice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</si>
</sst>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9"/>
      <color theme="1"/>
      <name val="Calibri"/>
      <family val="2"/>
      <scheme val="minor"/>
    </font>
    <font>
      <b/>
      <sz val="18"/>
      <color theme="1"/>
      <name val="Calibri"/>
      <family val="2"/>
      <scheme val="minor"/>
    </font>
    <font>
      <b/>
      <sz val="12"/>
      <color rgb="FFFF0000"/>
      <name val="Calibri"/>
      <family val="2"/>
      <scheme val="minor"/>
    </font>
    <font>
      <b/>
      <sz val="9"/>
      <color theme="0"/>
      <name val="Calibri"/>
      <family val="2"/>
      <scheme val="minor"/>
    </font>
    <font>
      <sz val="11"/>
      <name val="Calibri"/>
      <family val="2"/>
      <scheme val="minor"/>
    </font>
    <font>
      <b/>
      <sz val="11"/>
      <color theme="0"/>
      <name val="Calibri"/>
      <family val="2"/>
      <scheme val="minor"/>
    </font>
    <font>
      <b/>
      <sz val="10"/>
      <color theme="0"/>
      <name val="Calibri"/>
      <family val="2"/>
      <scheme val="minor"/>
    </font>
    <font>
      <b/>
      <sz val="11"/>
      <color rgb="FFFFC000"/>
      <name val="Calibri"/>
      <family val="2"/>
      <scheme val="minor"/>
    </font>
    <font>
      <b/>
      <sz val="11"/>
      <name val="Calibri"/>
      <family val="2"/>
      <scheme val="minor"/>
    </font>
    <font>
      <i/>
      <sz val="11"/>
      <color theme="1"/>
      <name val="Calibri"/>
      <family val="2"/>
      <scheme val="minor"/>
    </font>
    <font>
      <b/>
      <sz val="11"/>
      <color theme="1"/>
      <name val="Calibri"/>
      <family val="2"/>
    </font>
    <font>
      <sz val="9"/>
      <name val="Calibri"/>
      <family val="2"/>
      <scheme val="minor"/>
    </font>
    <font>
      <sz val="11"/>
      <color theme="1"/>
      <name val="Calibri"/>
      <family val="2"/>
      <scheme val="minor"/>
    </font>
    <font>
      <b/>
      <u/>
      <sz val="24"/>
      <color theme="0"/>
      <name val="Arial Black"/>
      <family val="2"/>
    </font>
    <font>
      <i/>
      <sz val="11"/>
      <color theme="0"/>
      <name val="Calibri"/>
      <family val="2"/>
      <scheme val="minor"/>
    </font>
    <font>
      <b/>
      <u/>
      <sz val="14"/>
      <color theme="1"/>
      <name val="Calibri"/>
      <family val="2"/>
      <scheme val="minor"/>
    </font>
    <font>
      <b/>
      <sz val="11"/>
      <color theme="1"/>
      <name val="Calibri"/>
      <family val="2"/>
      <scheme val="minor"/>
    </font>
    <font>
      <b/>
      <sz val="11"/>
      <color theme="1"/>
      <name val="Calibri"/>
      <family val="2"/>
    </font>
  </fonts>
  <fills count="2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1F3F5"/>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CE2D4"/>
        <bgColor indexed="64"/>
      </patternFill>
    </fill>
    <fill>
      <patternFill patternType="solid">
        <fgColor rgb="FFFAD2BC"/>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B889DB"/>
        <bgColor indexed="64"/>
      </patternFill>
    </fill>
    <fill>
      <patternFill patternType="solid">
        <fgColor rgb="FFDAC2EC"/>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FF99"/>
        <bgColor indexed="64"/>
      </patternFill>
    </fill>
    <fill>
      <patternFill patternType="solid">
        <fgColor rgb="FFFF5050"/>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318">
    <xf numFmtId="0" fontId="0" fillId="0" borderId="0" xfId="0"/>
    <xf numFmtId="0" fontId="0" fillId="0" borderId="1"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4" fillId="4" borderId="7" xfId="0" applyFont="1" applyFill="1" applyBorder="1" applyAlignment="1">
      <alignment horizontal="center" vertical="center"/>
    </xf>
    <xf numFmtId="0" fontId="4" fillId="0" borderId="9" xfId="0"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center" vertical="center"/>
    </xf>
    <xf numFmtId="0" fontId="4" fillId="0" borderId="3" xfId="0" applyFont="1" applyBorder="1" applyAlignment="1">
      <alignment horizontal="center" vertical="center"/>
    </xf>
    <xf numFmtId="0" fontId="1" fillId="0" borderId="0" xfId="0" applyFont="1" applyAlignment="1">
      <alignment horizontal="center" vertical="center"/>
    </xf>
    <xf numFmtId="0" fontId="4" fillId="4" borderId="24" xfId="0" applyFont="1" applyFill="1" applyBorder="1" applyAlignment="1">
      <alignment horizontal="center" vertical="center"/>
    </xf>
    <xf numFmtId="0" fontId="1" fillId="2" borderId="18"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0" borderId="0" xfId="0" applyFont="1" applyFill="1" applyAlignment="1">
      <alignment horizontal="center" vertical="center"/>
    </xf>
    <xf numFmtId="0" fontId="7" fillId="5" borderId="7"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4" xfId="0" applyFont="1" applyFill="1" applyBorder="1" applyAlignment="1">
      <alignment horizontal="center" vertical="center"/>
    </xf>
    <xf numFmtId="0" fontId="1" fillId="0" borderId="0" xfId="0" applyFont="1" applyAlignment="1">
      <alignment horizontal="center"/>
    </xf>
    <xf numFmtId="0" fontId="4" fillId="2" borderId="18" xfId="0" applyFont="1" applyFill="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18" xfId="0" applyFont="1" applyBorder="1" applyAlignment="1">
      <alignment horizontal="center" vertical="center"/>
    </xf>
    <xf numFmtId="0" fontId="7" fillId="5" borderId="30" xfId="0" applyFont="1"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4" fillId="12" borderId="24" xfId="0" applyFont="1" applyFill="1" applyBorder="1" applyAlignment="1">
      <alignment horizontal="center" vertical="center"/>
    </xf>
    <xf numFmtId="0" fontId="4" fillId="12" borderId="7"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pplyFill="1" applyAlignment="1">
      <alignment horizontal="center" vertical="center"/>
    </xf>
    <xf numFmtId="0" fontId="4" fillId="0" borderId="37" xfId="0" applyFont="1" applyBorder="1" applyAlignment="1">
      <alignment horizontal="center" vertical="center"/>
    </xf>
    <xf numFmtId="0" fontId="10" fillId="5" borderId="10"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1"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4" fillId="11" borderId="24" xfId="0" applyFont="1" applyFill="1" applyBorder="1" applyAlignment="1">
      <alignment horizontal="center" vertical="center"/>
    </xf>
    <xf numFmtId="0" fontId="4" fillId="11" borderId="7" xfId="0" applyFont="1" applyFill="1" applyBorder="1" applyAlignment="1">
      <alignment horizontal="center" vertical="center"/>
    </xf>
    <xf numFmtId="0" fontId="4" fillId="17" borderId="24" xfId="0" applyFont="1" applyFill="1" applyBorder="1" applyAlignment="1">
      <alignment horizontal="center" vertical="center"/>
    </xf>
    <xf numFmtId="0" fontId="4" fillId="17" borderId="7" xfId="0" applyFont="1" applyFill="1" applyBorder="1" applyAlignment="1">
      <alignment horizontal="center" vertical="center"/>
    </xf>
    <xf numFmtId="0" fontId="1" fillId="0" borderId="0" xfId="0" applyFont="1" applyBorder="1" applyAlignment="1">
      <alignment horizontal="center" vertical="center"/>
    </xf>
    <xf numFmtId="0" fontId="7" fillId="5" borderId="18" xfId="0" applyFont="1" applyFill="1" applyBorder="1" applyAlignment="1">
      <alignment horizontal="center" vertical="center" wrapText="1"/>
    </xf>
    <xf numFmtId="0" fontId="7" fillId="5" borderId="18" xfId="0" applyFont="1" applyFill="1" applyBorder="1" applyAlignment="1">
      <alignment horizontal="center" vertical="center"/>
    </xf>
    <xf numFmtId="0" fontId="0" fillId="0" borderId="50" xfId="0" applyBorder="1" applyAlignment="1">
      <alignment horizontal="center" vertical="center"/>
    </xf>
    <xf numFmtId="0" fontId="1" fillId="7" borderId="10"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15" xfId="0" applyFont="1" applyFill="1" applyBorder="1" applyAlignment="1">
      <alignment horizontal="center" vertical="center"/>
    </xf>
    <xf numFmtId="0" fontId="2" fillId="0" borderId="0" xfId="0" applyFont="1" applyBorder="1" applyAlignment="1">
      <alignment horizontal="center" vertical="center"/>
    </xf>
    <xf numFmtId="0" fontId="7" fillId="5" borderId="0" xfId="0" applyFont="1" applyFill="1" applyBorder="1" applyAlignment="1">
      <alignment horizontal="center" vertical="center" wrapText="1"/>
    </xf>
    <xf numFmtId="0" fontId="2" fillId="5"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2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2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0" xfId="0" applyFont="1" applyProtection="1"/>
    <xf numFmtId="0" fontId="0" fillId="0" borderId="0" xfId="0" applyProtection="1"/>
    <xf numFmtId="0" fontId="4" fillId="4" borderId="2" xfId="0" applyFont="1" applyFill="1" applyBorder="1" applyAlignment="1" applyProtection="1">
      <alignment horizontal="center" vertical="center" wrapText="1"/>
    </xf>
    <xf numFmtId="0" fontId="4" fillId="12" borderId="2" xfId="0" applyFont="1" applyFill="1" applyBorder="1" applyAlignment="1" applyProtection="1">
      <alignment horizontal="center" vertical="center" wrapText="1"/>
    </xf>
    <xf numFmtId="0" fontId="4" fillId="10" borderId="2" xfId="0" applyFont="1" applyFill="1" applyBorder="1" applyAlignment="1" applyProtection="1">
      <alignment horizontal="center" vertical="center" wrapText="1"/>
    </xf>
    <xf numFmtId="0" fontId="4" fillId="11" borderId="2" xfId="0" applyFont="1" applyFill="1" applyBorder="1" applyAlignment="1" applyProtection="1">
      <alignment horizontal="center" vertical="center" wrapText="1"/>
    </xf>
    <xf numFmtId="0" fontId="4" fillId="17"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 fillId="19" borderId="10" xfId="0"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0" fillId="19" borderId="11" xfId="0" applyFill="1" applyBorder="1" applyAlignment="1" applyProtection="1">
      <alignment horizontal="center" vertical="center"/>
    </xf>
    <xf numFmtId="0" fontId="0" fillId="19" borderId="11" xfId="0" applyFill="1" applyBorder="1" applyAlignment="1" applyProtection="1">
      <alignment horizontal="left" vertical="center"/>
    </xf>
    <xf numFmtId="0" fontId="0" fillId="4" borderId="48" xfId="0" applyFill="1" applyBorder="1" applyAlignment="1" applyProtection="1">
      <alignment horizontal="center" vertical="center"/>
    </xf>
    <xf numFmtId="0" fontId="0" fillId="12" borderId="28" xfId="0" applyFill="1" applyBorder="1" applyAlignment="1" applyProtection="1">
      <alignment horizontal="center" vertical="center"/>
    </xf>
    <xf numFmtId="0" fontId="0" fillId="12" borderId="48" xfId="0" applyFill="1" applyBorder="1" applyAlignment="1" applyProtection="1">
      <alignment horizontal="center" vertical="center"/>
    </xf>
    <xf numFmtId="0" fontId="0" fillId="10" borderId="28" xfId="0" applyFill="1" applyBorder="1" applyAlignment="1" applyProtection="1">
      <alignment horizontal="center" vertical="center"/>
    </xf>
    <xf numFmtId="0" fontId="0" fillId="10" borderId="29" xfId="0" applyFill="1" applyBorder="1" applyAlignment="1" applyProtection="1">
      <alignment horizontal="center" vertical="center"/>
    </xf>
    <xf numFmtId="0" fontId="0" fillId="11" borderId="35" xfId="0" applyFill="1" applyBorder="1" applyAlignment="1" applyProtection="1">
      <alignment horizontal="center" vertical="center"/>
    </xf>
    <xf numFmtId="0" fontId="0" fillId="11" borderId="29" xfId="0" applyFill="1" applyBorder="1" applyAlignment="1" applyProtection="1">
      <alignment horizontal="center" vertical="center"/>
    </xf>
    <xf numFmtId="0" fontId="0" fillId="17" borderId="35" xfId="0" applyFill="1" applyBorder="1" applyAlignment="1" applyProtection="1">
      <alignment horizontal="center" vertical="center"/>
    </xf>
    <xf numFmtId="0" fontId="0" fillId="17" borderId="29" xfId="0"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 xfId="0" applyFill="1" applyBorder="1" applyAlignment="1" applyProtection="1">
      <alignment horizontal="left" vertical="center"/>
    </xf>
    <xf numFmtId="0" fontId="0" fillId="2" borderId="40" xfId="0" applyFill="1" applyBorder="1" applyAlignment="1" applyProtection="1">
      <alignment horizontal="center" vertical="center"/>
    </xf>
    <xf numFmtId="0" fontId="1" fillId="14" borderId="19" xfId="0" applyFont="1" applyFill="1" applyBorder="1" applyAlignment="1" applyProtection="1">
      <alignment horizontal="center" vertical="center"/>
    </xf>
    <xf numFmtId="0" fontId="0" fillId="14" borderId="1" xfId="0" applyFill="1" applyBorder="1" applyAlignment="1" applyProtection="1">
      <alignment horizontal="center" vertical="center"/>
    </xf>
    <xf numFmtId="0" fontId="0" fillId="14" borderId="1" xfId="0" applyFill="1" applyBorder="1" applyAlignment="1" applyProtection="1">
      <alignment horizontal="left" vertical="center"/>
    </xf>
    <xf numFmtId="0" fontId="1" fillId="0" borderId="19"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 xfId="0" applyFill="1" applyBorder="1" applyAlignment="1" applyProtection="1">
      <alignment horizontal="left" vertical="center"/>
    </xf>
    <xf numFmtId="0" fontId="1" fillId="0" borderId="13" xfId="0" applyFont="1" applyFill="1" applyBorder="1" applyAlignment="1" applyProtection="1">
      <alignment horizontal="center" vertical="center"/>
    </xf>
    <xf numFmtId="0" fontId="2" fillId="5"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4" xfId="0" applyFill="1" applyBorder="1" applyAlignment="1" applyProtection="1">
      <alignment horizontal="left" vertical="center"/>
    </xf>
    <xf numFmtId="0" fontId="0" fillId="2" borderId="3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4" borderId="11"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12" borderId="11" xfId="0" applyFill="1" applyBorder="1" applyAlignment="1" applyProtection="1">
      <alignment horizontal="center" vertical="center"/>
      <protection locked="0"/>
    </xf>
    <xf numFmtId="0" fontId="0" fillId="12" borderId="14" xfId="0" applyFill="1" applyBorder="1" applyAlignment="1" applyProtection="1">
      <alignment horizontal="center" vertical="center"/>
      <protection locked="0"/>
    </xf>
    <xf numFmtId="0" fontId="0" fillId="10" borderId="11" xfId="0"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17" borderId="11" xfId="0" applyFill="1" applyBorder="1" applyAlignment="1" applyProtection="1">
      <alignment horizontal="center" vertical="center"/>
      <protection locked="0"/>
    </xf>
    <xf numFmtId="0" fontId="0" fillId="17" borderId="14" xfId="0" applyFill="1" applyBorder="1" applyAlignment="1" applyProtection="1">
      <alignment horizontal="center" vertical="center"/>
      <protection locked="0"/>
    </xf>
    <xf numFmtId="0" fontId="2" fillId="0" borderId="0" xfId="0" applyFont="1"/>
    <xf numFmtId="0" fontId="15" fillId="0" borderId="0" xfId="0" applyFont="1" applyFill="1" applyAlignment="1">
      <alignment horizontal="center" vertical="center"/>
    </xf>
    <xf numFmtId="0" fontId="5" fillId="0" borderId="0" xfId="0" applyFont="1" applyFill="1" applyBorder="1" applyAlignment="1">
      <alignment horizont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xf numFmtId="0" fontId="0" fillId="2" borderId="20" xfId="0" applyFill="1" applyBorder="1" applyAlignment="1" applyProtection="1">
      <alignment horizontal="center" vertical="center"/>
    </xf>
    <xf numFmtId="0" fontId="1" fillId="23" borderId="55" xfId="0" applyFont="1" applyFill="1" applyBorder="1" applyAlignment="1">
      <alignment horizontal="left" vertical="top" indent="1"/>
    </xf>
    <xf numFmtId="0" fontId="10" fillId="5" borderId="36" xfId="0" applyFont="1"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0" fillId="5" borderId="14" xfId="0" applyFont="1" applyFill="1" applyBorder="1" applyAlignment="1">
      <alignment horizontal="center" vertical="center"/>
    </xf>
    <xf numFmtId="0" fontId="0" fillId="4" borderId="10" xfId="0" applyFill="1" applyBorder="1" applyAlignment="1" applyProtection="1">
      <alignment horizontal="center" vertical="center"/>
    </xf>
    <xf numFmtId="0" fontId="0" fillId="4" borderId="25" xfId="0" applyFill="1" applyBorder="1" applyAlignment="1" applyProtection="1">
      <alignment horizontal="center" vertical="center"/>
    </xf>
    <xf numFmtId="0" fontId="0" fillId="12" borderId="10" xfId="0" applyFill="1" applyBorder="1" applyAlignment="1" applyProtection="1">
      <alignment horizontal="center" vertical="center"/>
    </xf>
    <xf numFmtId="0" fontId="0" fillId="12" borderId="25" xfId="0" applyFill="1" applyBorder="1" applyAlignment="1" applyProtection="1">
      <alignment horizontal="center" vertical="center"/>
    </xf>
    <xf numFmtId="0" fontId="0" fillId="10" borderId="10"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11" borderId="33" xfId="0" applyFill="1" applyBorder="1" applyAlignment="1" applyProtection="1">
      <alignment horizontal="center" vertical="center"/>
    </xf>
    <xf numFmtId="0" fontId="0" fillId="11" borderId="12" xfId="0" applyFill="1" applyBorder="1" applyAlignment="1" applyProtection="1">
      <alignment horizontal="center" vertical="center"/>
    </xf>
    <xf numFmtId="0" fontId="0" fillId="17" borderId="33" xfId="0" applyFill="1" applyBorder="1" applyAlignment="1" applyProtection="1">
      <alignment horizontal="center" vertical="center"/>
    </xf>
    <xf numFmtId="0" fontId="0" fillId="17" borderId="12"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4" borderId="28" xfId="0" applyFill="1" applyBorder="1" applyAlignment="1" applyProtection="1">
      <alignment horizontal="center" vertical="center"/>
    </xf>
    <xf numFmtId="0" fontId="0" fillId="4" borderId="60" xfId="0" applyFill="1" applyBorder="1" applyAlignment="1" applyProtection="1">
      <alignment horizontal="center" vertical="center"/>
    </xf>
    <xf numFmtId="0" fontId="0" fillId="4" borderId="61" xfId="0" applyFill="1" applyBorder="1" applyAlignment="1" applyProtection="1">
      <alignment horizontal="center" vertical="center"/>
    </xf>
    <xf numFmtId="0" fontId="0" fillId="12" borderId="60" xfId="0" applyFill="1" applyBorder="1" applyAlignment="1" applyProtection="1">
      <alignment horizontal="center" vertical="center"/>
    </xf>
    <xf numFmtId="0" fontId="0" fillId="12" borderId="61" xfId="0" applyFill="1" applyBorder="1" applyAlignment="1" applyProtection="1">
      <alignment horizontal="center" vertical="center"/>
    </xf>
    <xf numFmtId="0" fontId="0" fillId="10" borderId="60" xfId="0" applyFill="1" applyBorder="1" applyAlignment="1" applyProtection="1">
      <alignment horizontal="center" vertical="center"/>
    </xf>
    <xf numFmtId="0" fontId="0" fillId="10" borderId="62" xfId="0" applyFill="1" applyBorder="1" applyAlignment="1" applyProtection="1">
      <alignment horizontal="center" vertical="center"/>
    </xf>
    <xf numFmtId="0" fontId="0" fillId="11" borderId="63" xfId="0" applyFill="1" applyBorder="1" applyAlignment="1" applyProtection="1">
      <alignment horizontal="center" vertical="center"/>
    </xf>
    <xf numFmtId="0" fontId="0" fillId="11" borderId="62" xfId="0" applyFill="1" applyBorder="1" applyAlignment="1" applyProtection="1">
      <alignment horizontal="center" vertical="center"/>
    </xf>
    <xf numFmtId="0" fontId="0" fillId="17" borderId="63" xfId="0" applyFill="1" applyBorder="1" applyAlignment="1" applyProtection="1">
      <alignment horizontal="center" vertical="center"/>
    </xf>
    <xf numFmtId="0" fontId="0" fillId="17" borderId="62" xfId="0" applyFill="1" applyBorder="1" applyAlignment="1" applyProtection="1">
      <alignment horizontal="center" vertical="center"/>
    </xf>
    <xf numFmtId="0" fontId="16" fillId="5" borderId="0" xfId="0" applyFont="1" applyFill="1" applyAlignment="1">
      <alignment wrapText="1"/>
    </xf>
    <xf numFmtId="0" fontId="16" fillId="23" borderId="52" xfId="0" applyFont="1" applyFill="1" applyBorder="1" applyAlignment="1">
      <alignment wrapText="1"/>
    </xf>
    <xf numFmtId="0" fontId="16" fillId="23" borderId="53" xfId="0" applyFont="1" applyFill="1" applyBorder="1" applyAlignment="1">
      <alignment wrapText="1"/>
    </xf>
    <xf numFmtId="0" fontId="16" fillId="23" borderId="54" xfId="0" applyFont="1" applyFill="1" applyBorder="1" applyAlignment="1">
      <alignment wrapText="1"/>
    </xf>
    <xf numFmtId="0" fontId="16" fillId="23" borderId="55" xfId="0" applyFont="1" applyFill="1" applyBorder="1" applyAlignment="1">
      <alignment wrapText="1"/>
    </xf>
    <xf numFmtId="0" fontId="16" fillId="23" borderId="0" xfId="0" applyFont="1" applyFill="1" applyBorder="1" applyAlignment="1">
      <alignment wrapText="1"/>
    </xf>
    <xf numFmtId="0" fontId="16" fillId="23" borderId="56" xfId="0" applyFont="1" applyFill="1" applyBorder="1" applyAlignment="1">
      <alignment wrapText="1"/>
    </xf>
    <xf numFmtId="0" fontId="20" fillId="23" borderId="0" xfId="0" applyFont="1" applyFill="1" applyBorder="1" applyAlignment="1">
      <alignment horizontal="center" vertical="top" wrapText="1"/>
    </xf>
    <xf numFmtId="0" fontId="16" fillId="23" borderId="56" xfId="0" applyFont="1" applyFill="1" applyBorder="1" applyAlignment="1">
      <alignment horizontal="left" vertical="top" wrapText="1"/>
    </xf>
    <xf numFmtId="0" fontId="16" fillId="23" borderId="56" xfId="0" applyFont="1" applyFill="1" applyBorder="1" applyAlignment="1">
      <alignment vertical="top" wrapText="1"/>
    </xf>
    <xf numFmtId="0" fontId="21" fillId="23" borderId="55" xfId="0" applyFont="1" applyFill="1" applyBorder="1" applyAlignment="1">
      <alignment horizontal="left" vertical="top" indent="1"/>
    </xf>
    <xf numFmtId="0" fontId="16" fillId="23" borderId="0" xfId="0" applyFont="1" applyFill="1" applyBorder="1" applyAlignment="1">
      <alignment horizontal="left" vertical="top" wrapText="1" indent="1"/>
    </xf>
    <xf numFmtId="0" fontId="16" fillId="23" borderId="56" xfId="0" applyFont="1" applyFill="1" applyBorder="1" applyAlignment="1">
      <alignment horizontal="left" vertical="top" wrapText="1" indent="1"/>
    </xf>
    <xf numFmtId="0" fontId="16" fillId="23" borderId="57" xfId="0" applyFont="1" applyFill="1" applyBorder="1" applyAlignment="1">
      <alignment wrapText="1"/>
    </xf>
    <xf numFmtId="0" fontId="16" fillId="23" borderId="58" xfId="0" applyFont="1" applyFill="1" applyBorder="1" applyAlignment="1">
      <alignment wrapText="1"/>
    </xf>
    <xf numFmtId="0" fontId="16" fillId="23" borderId="59" xfId="0" applyFont="1" applyFill="1" applyBorder="1" applyAlignment="1">
      <alignment wrapText="1"/>
    </xf>
    <xf numFmtId="0" fontId="7" fillId="5" borderId="8" xfId="0" applyFont="1" applyFill="1" applyBorder="1" applyAlignment="1">
      <alignment horizontal="center" vertical="center"/>
    </xf>
    <xf numFmtId="0" fontId="9" fillId="5" borderId="12" xfId="0" applyFont="1" applyFill="1" applyBorder="1" applyAlignment="1" applyProtection="1">
      <alignment horizontal="center" vertical="center"/>
    </xf>
    <xf numFmtId="0" fontId="1" fillId="4" borderId="11"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12" borderId="11" xfId="0" applyFont="1" applyFill="1" applyBorder="1" applyAlignment="1" applyProtection="1">
      <alignment horizontal="center" vertical="center"/>
      <protection locked="0"/>
    </xf>
    <xf numFmtId="0" fontId="1" fillId="12" borderId="14" xfId="0" applyFont="1" applyFill="1" applyBorder="1" applyAlignment="1" applyProtection="1">
      <alignment horizontal="center" vertical="center"/>
      <protection locked="0"/>
    </xf>
    <xf numFmtId="0" fontId="1" fillId="10" borderId="11" xfId="0" applyFont="1" applyFill="1" applyBorder="1" applyAlignment="1" applyProtection="1">
      <alignment horizontal="center" vertical="center"/>
      <protection locked="0"/>
    </xf>
    <xf numFmtId="0" fontId="1" fillId="10" borderId="14" xfId="0" applyFont="1" applyFill="1" applyBorder="1" applyAlignment="1" applyProtection="1">
      <alignment horizontal="center" vertical="center"/>
      <protection locked="0"/>
    </xf>
    <xf numFmtId="0" fontId="1" fillId="11" borderId="11" xfId="0" applyFont="1" applyFill="1" applyBorder="1" applyAlignment="1" applyProtection="1">
      <alignment horizontal="center" vertical="center"/>
      <protection locked="0"/>
    </xf>
    <xf numFmtId="0" fontId="1" fillId="11" borderId="14" xfId="0" applyFont="1" applyFill="1" applyBorder="1" applyAlignment="1" applyProtection="1">
      <alignment horizontal="center" vertical="center"/>
      <protection locked="0"/>
    </xf>
    <xf numFmtId="0" fontId="1" fillId="17" borderId="11" xfId="0" applyFont="1" applyFill="1" applyBorder="1" applyAlignment="1" applyProtection="1">
      <alignment horizontal="center" vertical="center"/>
      <protection locked="0"/>
    </xf>
    <xf numFmtId="0" fontId="1" fillId="17" borderId="14" xfId="0" applyFont="1" applyFill="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13" xfId="0" applyFont="1" applyBorder="1" applyAlignment="1">
      <alignment horizontal="center" vertical="center"/>
    </xf>
    <xf numFmtId="0" fontId="2" fillId="5" borderId="64" xfId="0" applyFont="1" applyFill="1" applyBorder="1" applyAlignment="1">
      <alignment horizontal="center" vertical="center"/>
    </xf>
    <xf numFmtId="0" fontId="0" fillId="0" borderId="46"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16" fillId="23" borderId="55" xfId="0" applyFont="1" applyFill="1" applyBorder="1" applyAlignment="1">
      <alignment horizontal="left" vertical="top" wrapText="1" indent="1"/>
    </xf>
    <xf numFmtId="0" fontId="16" fillId="23" borderId="0" xfId="0" applyFont="1" applyFill="1" applyBorder="1" applyAlignment="1">
      <alignment horizontal="left" vertical="top" wrapText="1" indent="1"/>
    </xf>
    <xf numFmtId="0" fontId="16" fillId="23" borderId="56" xfId="0" applyFont="1" applyFill="1" applyBorder="1" applyAlignment="1">
      <alignment horizontal="left" vertical="top" wrapText="1" inden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9" fillId="23" borderId="55" xfId="0" applyFont="1" applyFill="1" applyBorder="1" applyAlignment="1">
      <alignment horizontal="left" vertical="center" indent="1"/>
    </xf>
    <xf numFmtId="0" fontId="19" fillId="23" borderId="0" xfId="0" applyFont="1" applyFill="1" applyBorder="1" applyAlignment="1">
      <alignment horizontal="left" vertical="center" indent="1"/>
    </xf>
    <xf numFmtId="0" fontId="19" fillId="23" borderId="56" xfId="0" applyFont="1" applyFill="1" applyBorder="1" applyAlignment="1">
      <alignment horizontal="left" vertical="center" indent="1"/>
    </xf>
    <xf numFmtId="0" fontId="4" fillId="2" borderId="3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0" fillId="0" borderId="9"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13" fillId="7" borderId="30"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37"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0" fontId="13" fillId="7" borderId="38" xfId="0" applyFont="1" applyFill="1" applyBorder="1" applyAlignment="1" applyProtection="1">
      <alignment horizontal="center" vertical="center" wrapText="1"/>
      <protection locked="0"/>
    </xf>
    <xf numFmtId="0" fontId="13" fillId="7" borderId="41" xfId="0" applyFont="1" applyFill="1" applyBorder="1" applyAlignment="1" applyProtection="1">
      <alignment horizontal="center" vertical="center" wrapText="1"/>
      <protection locked="0"/>
    </xf>
    <xf numFmtId="0" fontId="5" fillId="3" borderId="9" xfId="0" applyFont="1" applyFill="1" applyBorder="1" applyAlignment="1">
      <alignment horizontal="center"/>
    </xf>
    <xf numFmtId="0" fontId="5" fillId="3" borderId="16" xfId="0" applyFont="1" applyFill="1" applyBorder="1" applyAlignment="1">
      <alignment horizontal="center"/>
    </xf>
    <xf numFmtId="0" fontId="5" fillId="3" borderId="3" xfId="0" applyFont="1" applyFill="1" applyBorder="1" applyAlignment="1">
      <alignment horizontal="center"/>
    </xf>
    <xf numFmtId="0" fontId="5" fillId="3" borderId="17" xfId="0" applyFont="1" applyFill="1" applyBorder="1" applyAlignment="1">
      <alignment horizontal="center"/>
    </xf>
    <xf numFmtId="0" fontId="5" fillId="13" borderId="9" xfId="0" applyFont="1" applyFill="1" applyBorder="1" applyAlignment="1">
      <alignment horizontal="center"/>
    </xf>
    <xf numFmtId="0" fontId="5" fillId="13" borderId="16" xfId="0" applyFont="1" applyFill="1" applyBorder="1" applyAlignment="1">
      <alignment horizontal="center"/>
    </xf>
    <xf numFmtId="0" fontId="5" fillId="13" borderId="17" xfId="0" applyFont="1" applyFill="1" applyBorder="1" applyAlignment="1">
      <alignment horizontal="center"/>
    </xf>
    <xf numFmtId="0" fontId="5" fillId="8" borderId="9" xfId="0" applyFont="1" applyFill="1" applyBorder="1" applyAlignment="1">
      <alignment horizontal="center"/>
    </xf>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15" borderId="9" xfId="0" applyFont="1" applyFill="1" applyBorder="1" applyAlignment="1">
      <alignment horizontal="center"/>
    </xf>
    <xf numFmtId="0" fontId="5" fillId="15" borderId="16" xfId="0" applyFont="1" applyFill="1" applyBorder="1" applyAlignment="1">
      <alignment horizontal="center"/>
    </xf>
    <xf numFmtId="0" fontId="5" fillId="15" borderId="17" xfId="0" applyFont="1" applyFill="1" applyBorder="1" applyAlignment="1">
      <alignment horizontal="center"/>
    </xf>
    <xf numFmtId="0" fontId="5" fillId="16" borderId="9" xfId="0" applyFont="1" applyFill="1" applyBorder="1" applyAlignment="1">
      <alignment horizontal="center"/>
    </xf>
    <xf numFmtId="0" fontId="5" fillId="16" borderId="16" xfId="0" applyFont="1" applyFill="1" applyBorder="1" applyAlignment="1">
      <alignment horizontal="center"/>
    </xf>
    <xf numFmtId="0" fontId="5" fillId="16" borderId="17" xfId="0" applyFont="1" applyFill="1" applyBorder="1" applyAlignment="1">
      <alignment horizontal="center"/>
    </xf>
    <xf numFmtId="0" fontId="4" fillId="16" borderId="9" xfId="0" applyFont="1" applyFill="1" applyBorder="1" applyAlignment="1" applyProtection="1">
      <alignment horizontal="center" vertical="center" wrapText="1"/>
    </xf>
    <xf numFmtId="0" fontId="4" fillId="16" borderId="17" xfId="0" applyFont="1" applyFill="1" applyBorder="1" applyAlignment="1" applyProtection="1">
      <alignment horizontal="center" vertical="center" wrapText="1"/>
    </xf>
    <xf numFmtId="0" fontId="4" fillId="18" borderId="9" xfId="0" applyFont="1" applyFill="1" applyBorder="1" applyAlignment="1" applyProtection="1">
      <alignment horizontal="center" vertical="center" wrapText="1"/>
    </xf>
    <xf numFmtId="0" fontId="4" fillId="18" borderId="17"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7" fillId="5" borderId="39"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0" fillId="19" borderId="11" xfId="0" applyFill="1" applyBorder="1" applyAlignment="1" applyProtection="1">
      <alignment horizontal="center" vertical="center"/>
    </xf>
    <xf numFmtId="0" fontId="0" fillId="19" borderId="12"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14" borderId="1" xfId="0" applyFill="1" applyBorder="1" applyAlignment="1" applyProtection="1">
      <alignment horizontal="center" vertical="center"/>
    </xf>
    <xf numFmtId="0" fontId="0" fillId="14" borderId="20"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0" xfId="0" applyFill="1" applyBorder="1" applyAlignment="1" applyProtection="1">
      <alignment horizontal="center" vertical="center"/>
    </xf>
    <xf numFmtId="0" fontId="4" fillId="13" borderId="9" xfId="0" applyFont="1" applyFill="1" applyBorder="1" applyAlignment="1" applyProtection="1">
      <alignment horizontal="center" vertical="center" wrapText="1"/>
    </xf>
    <xf numFmtId="0" fontId="4" fillId="13" borderId="17" xfId="0" applyFont="1" applyFill="1" applyBorder="1" applyAlignment="1" applyProtection="1">
      <alignment horizontal="center" vertical="center" wrapText="1"/>
    </xf>
    <xf numFmtId="0" fontId="4" fillId="8" borderId="9" xfId="0" applyFont="1" applyFill="1" applyBorder="1" applyAlignment="1" applyProtection="1">
      <alignment horizontal="center" vertical="center" wrapText="1"/>
    </xf>
    <xf numFmtId="0" fontId="4" fillId="8" borderId="17" xfId="0" applyFont="1" applyFill="1" applyBorder="1" applyAlignment="1" applyProtection="1">
      <alignment horizontal="center" vertical="center" wrapText="1"/>
    </xf>
    <xf numFmtId="0" fontId="4" fillId="15" borderId="9" xfId="0" applyFont="1" applyFill="1" applyBorder="1" applyAlignment="1" applyProtection="1">
      <alignment horizontal="center" vertical="center" wrapText="1"/>
    </xf>
    <xf numFmtId="0" fontId="4" fillId="15" borderId="17"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6" borderId="10" xfId="0" applyFont="1" applyFill="1" applyBorder="1" applyAlignment="1" applyProtection="1">
      <alignment horizontal="center"/>
    </xf>
    <xf numFmtId="0" fontId="1" fillId="6" borderId="11" xfId="0" applyFont="1" applyFill="1" applyBorder="1" applyAlignment="1" applyProtection="1">
      <alignment horizontal="center"/>
    </xf>
    <xf numFmtId="0" fontId="1" fillId="6" borderId="19" xfId="0" applyFont="1" applyFill="1" applyBorder="1" applyAlignment="1" applyProtection="1">
      <alignment horizontal="center"/>
    </xf>
    <xf numFmtId="0" fontId="1" fillId="6" borderId="1" xfId="0" applyFont="1" applyFill="1" applyBorder="1" applyAlignment="1" applyProtection="1">
      <alignment horizontal="center"/>
    </xf>
    <xf numFmtId="0" fontId="1" fillId="2" borderId="49"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36" xfId="0" applyBorder="1" applyAlignment="1" applyProtection="1">
      <alignment horizontal="center" vertical="center"/>
    </xf>
    <xf numFmtId="0" fontId="0" fillId="0" borderId="46" xfId="0" applyBorder="1" applyAlignment="1" applyProtection="1">
      <alignment horizontal="center" vertical="center"/>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12" fillId="9" borderId="64" xfId="0" applyFont="1" applyFill="1" applyBorder="1" applyAlignment="1" applyProtection="1">
      <alignment horizontal="center" vertical="center"/>
    </xf>
    <xf numFmtId="0" fontId="12" fillId="9" borderId="33" xfId="0" applyFont="1" applyFill="1" applyBorder="1" applyAlignment="1" applyProtection="1">
      <alignment horizontal="center" vertical="center"/>
    </xf>
    <xf numFmtId="0" fontId="1" fillId="20" borderId="42" xfId="0" applyFont="1" applyFill="1" applyBorder="1" applyAlignment="1" applyProtection="1">
      <alignment horizontal="center" vertical="center"/>
    </xf>
    <xf numFmtId="0" fontId="1" fillId="20" borderId="40" xfId="0" applyFont="1" applyFill="1" applyBorder="1" applyAlignment="1" applyProtection="1">
      <alignment horizontal="center" vertical="center"/>
    </xf>
    <xf numFmtId="0" fontId="1" fillId="21" borderId="42" xfId="0" applyFont="1" applyFill="1" applyBorder="1" applyAlignment="1" applyProtection="1">
      <alignment horizontal="center" vertical="center"/>
    </xf>
    <xf numFmtId="0" fontId="1" fillId="21" borderId="40" xfId="0" applyFont="1" applyFill="1" applyBorder="1" applyAlignment="1" applyProtection="1">
      <alignment horizontal="center" vertical="center"/>
    </xf>
    <xf numFmtId="0" fontId="1" fillId="22" borderId="43" xfId="0" applyFont="1" applyFill="1" applyBorder="1" applyAlignment="1" applyProtection="1">
      <alignment horizontal="center" vertical="center"/>
    </xf>
    <xf numFmtId="0" fontId="1" fillId="22" borderId="3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44" xfId="0" applyBorder="1" applyAlignment="1" applyProtection="1">
      <alignment horizontal="center" vertical="center"/>
    </xf>
    <xf numFmtId="0" fontId="0" fillId="0" borderId="47" xfId="0" applyBorder="1" applyAlignment="1" applyProtection="1">
      <alignment horizontal="center" vertical="center"/>
    </xf>
    <xf numFmtId="0" fontId="0" fillId="0" borderId="27" xfId="0" applyBorder="1" applyAlignment="1" applyProtection="1">
      <alignment horizontal="center" vertical="center"/>
    </xf>
    <xf numFmtId="0" fontId="0" fillId="0" borderId="45" xfId="0" applyBorder="1" applyAlignment="1" applyProtection="1">
      <alignment horizontal="center" vertical="center"/>
    </xf>
    <xf numFmtId="0" fontId="0" fillId="0" borderId="51"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Alignment="1" applyProtection="1">
      <alignment horizontal="center"/>
    </xf>
    <xf numFmtId="0" fontId="1" fillId="6" borderId="13" xfId="0" applyFont="1" applyFill="1" applyBorder="1" applyAlignment="1" applyProtection="1">
      <alignment horizontal="center"/>
    </xf>
    <xf numFmtId="0" fontId="1" fillId="6" borderId="14" xfId="0" applyFont="1" applyFill="1" applyBorder="1" applyAlignment="1" applyProtection="1">
      <alignment horizont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0"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cellXfs>
  <cellStyles count="1">
    <cellStyle name="Normal" xfId="0" builtinId="0"/>
  </cellStyles>
  <dxfs count="41">
    <dxf>
      <font>
        <color rgb="FFDAC2EC"/>
      </font>
    </dxf>
    <dxf>
      <font>
        <color theme="7" tint="0.79998168889431442"/>
      </font>
    </dxf>
    <dxf>
      <font>
        <color theme="9" tint="0.79998168889431442"/>
      </font>
    </dxf>
    <dxf>
      <font>
        <color rgb="FFFCE2D4"/>
      </font>
    </dxf>
    <dxf>
      <font>
        <color theme="0"/>
      </font>
    </dxf>
    <dxf>
      <font>
        <color theme="5" tint="0.39994506668294322"/>
      </font>
    </dxf>
    <dxf>
      <font>
        <color theme="0" tint="-0.14996795556505021"/>
      </font>
    </dxf>
    <dxf>
      <font>
        <color theme="7" tint="0.39994506668294322"/>
      </font>
    </dxf>
    <dxf>
      <fill>
        <patternFill>
          <bgColor rgb="FFFF0000"/>
        </patternFill>
      </fill>
    </dxf>
    <dxf>
      <fill>
        <patternFill>
          <bgColor theme="0" tint="-0.14996795556505021"/>
        </patternFill>
      </fill>
    </dxf>
    <dxf>
      <font>
        <color theme="0"/>
      </font>
    </dxf>
    <dxf>
      <font>
        <color theme="0"/>
      </font>
    </dxf>
    <dxf>
      <font>
        <color theme="0"/>
      </font>
    </dxf>
    <dxf>
      <fill>
        <patternFill>
          <bgColor rgb="FFFF0000"/>
        </patternFill>
      </fill>
    </dxf>
    <dxf>
      <font>
        <color theme="0"/>
      </font>
    </dxf>
    <dxf>
      <fill>
        <patternFill>
          <bgColor rgb="FFFF0000"/>
        </patternFill>
      </fill>
    </dxf>
    <dxf>
      <fill>
        <patternFill>
          <bgColor theme="0" tint="-0.14996795556505021"/>
        </patternFill>
      </fill>
    </dxf>
    <dxf>
      <font>
        <color theme="0"/>
      </font>
    </dxf>
    <dxf>
      <font>
        <color theme="0"/>
      </font>
    </dxf>
    <dxf>
      <font>
        <color theme="0"/>
      </font>
    </dxf>
    <dxf>
      <fill>
        <patternFill>
          <bgColor rgb="FFFF0000"/>
        </patternFill>
      </fill>
    </dxf>
    <dxf>
      <font>
        <color theme="0"/>
      </font>
    </dxf>
    <dxf>
      <fill>
        <patternFill>
          <bgColor rgb="FFFF0000"/>
        </patternFill>
      </fill>
    </dxf>
    <dxf>
      <fill>
        <patternFill>
          <bgColor theme="0" tint="-0.14996795556505021"/>
        </patternFill>
      </fill>
    </dxf>
    <dxf>
      <font>
        <color theme="0"/>
      </font>
    </dxf>
    <dxf>
      <font>
        <color theme="0"/>
      </font>
    </dxf>
    <dxf>
      <font>
        <color theme="0"/>
      </font>
    </dxf>
    <dxf>
      <fill>
        <patternFill>
          <bgColor rgb="FFFF0000"/>
        </patternFill>
      </fill>
    </dxf>
    <dxf>
      <font>
        <color theme="0"/>
      </font>
    </dxf>
    <dxf>
      <fill>
        <patternFill>
          <bgColor rgb="FFFF0000"/>
        </patternFill>
      </fill>
    </dxf>
    <dxf>
      <fill>
        <patternFill>
          <bgColor theme="0" tint="-0.14996795556505021"/>
        </patternFill>
      </fill>
    </dxf>
    <dxf>
      <font>
        <color theme="0"/>
      </font>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theme="0" tint="-0.14996795556505021"/>
        </patternFill>
      </fill>
    </dxf>
    <dxf>
      <font>
        <color theme="0"/>
      </font>
    </dxf>
  </dxfs>
  <tableStyles count="0" defaultTableStyle="TableStyleMedium2" defaultPivotStyle="PivotStyleLight16"/>
  <colors>
    <mruColors>
      <color rgb="FFDAC2EC"/>
      <color rgb="FFFCE2D4"/>
      <color rgb="FFB889DB"/>
      <color rgb="FFFAD2BC"/>
      <color rgb="FFF1F3F5"/>
      <color rgb="FFACD292"/>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762000</xdr:rowOff>
    </xdr:from>
    <xdr:to>
      <xdr:col>3</xdr:col>
      <xdr:colOff>7452375</xdr:colOff>
      <xdr:row>1</xdr:row>
      <xdr:rowOff>1591058</xdr:rowOff>
    </xdr:to>
    <xdr:pic>
      <xdr:nvPicPr>
        <xdr:cNvPr id="3" name="Picture 2">
          <a:extLst>
            <a:ext uri="{FF2B5EF4-FFF2-40B4-BE49-F238E27FC236}">
              <a16:creationId xmlns:a16="http://schemas.microsoft.com/office/drawing/2014/main" id="{16AA43A0-1001-410B-8FE3-D05D031FD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460" y="944880"/>
          <a:ext cx="7559055" cy="829058"/>
        </a:xfrm>
        <a:prstGeom prst="rect">
          <a:avLst/>
        </a:prstGeom>
      </xdr:spPr>
    </xdr:pic>
    <xdr:clientData/>
  </xdr:twoCellAnchor>
  <xdr:twoCellAnchor editAs="oneCell">
    <xdr:from>
      <xdr:col>3</xdr:col>
      <xdr:colOff>7787640</xdr:colOff>
      <xdr:row>1</xdr:row>
      <xdr:rowOff>15240</xdr:rowOff>
    </xdr:from>
    <xdr:to>
      <xdr:col>3</xdr:col>
      <xdr:colOff>9719533</xdr:colOff>
      <xdr:row>1</xdr:row>
      <xdr:rowOff>632460</xdr:rowOff>
    </xdr:to>
    <xdr:pic>
      <xdr:nvPicPr>
        <xdr:cNvPr id="4" name="Picture 3">
          <a:extLst>
            <a:ext uri="{FF2B5EF4-FFF2-40B4-BE49-F238E27FC236}">
              <a16:creationId xmlns:a16="http://schemas.microsoft.com/office/drawing/2014/main" id="{405A8737-7B2E-4B31-A38C-9F79EE3F0C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93780" y="198120"/>
          <a:ext cx="1931893" cy="617220"/>
        </a:xfrm>
        <a:prstGeom prst="rect">
          <a:avLst/>
        </a:prstGeom>
      </xdr:spPr>
    </xdr:pic>
    <xdr:clientData/>
  </xdr:twoCellAnchor>
  <xdr:twoCellAnchor editAs="oneCell">
    <xdr:from>
      <xdr:col>3</xdr:col>
      <xdr:colOff>609600</xdr:colOff>
      <xdr:row>1</xdr:row>
      <xdr:rowOff>45720</xdr:rowOff>
    </xdr:from>
    <xdr:to>
      <xdr:col>3</xdr:col>
      <xdr:colOff>6700452</xdr:colOff>
      <xdr:row>1</xdr:row>
      <xdr:rowOff>937260</xdr:rowOff>
    </xdr:to>
    <xdr:pic>
      <xdr:nvPicPr>
        <xdr:cNvPr id="6" name="Picture 5">
          <a:extLst>
            <a:ext uri="{FF2B5EF4-FFF2-40B4-BE49-F238E27FC236}">
              <a16:creationId xmlns:a16="http://schemas.microsoft.com/office/drawing/2014/main" id="{B08BEAE3-9F1A-4D75-9400-556625AA1A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15740" y="228600"/>
          <a:ext cx="6090852" cy="891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487680</xdr:colOff>
      <xdr:row>1</xdr:row>
      <xdr:rowOff>7620</xdr:rowOff>
    </xdr:from>
    <xdr:to>
      <xdr:col>6</xdr:col>
      <xdr:colOff>2552701</xdr:colOff>
      <xdr:row>7</xdr:row>
      <xdr:rowOff>8433</xdr:rowOff>
    </xdr:to>
    <xdr:pic>
      <xdr:nvPicPr>
        <xdr:cNvPr id="3" name="Picture 2">
          <a:extLst>
            <a:ext uri="{FF2B5EF4-FFF2-40B4-BE49-F238E27FC236}">
              <a16:creationId xmlns:a16="http://schemas.microsoft.com/office/drawing/2014/main" id="{9459DC4C-815E-4097-8FFA-167C8968BD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8300" y="114300"/>
          <a:ext cx="3413761" cy="10980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zone%20Tournament%20Record%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ournament Details"/>
      <sheetName val="Round 1"/>
      <sheetName val="Round 2"/>
      <sheetName val="Round 3"/>
      <sheetName val="Round 4"/>
      <sheetName val="Round 5"/>
      <sheetName val="Sporting Votes"/>
      <sheetName val="Final Results"/>
      <sheetName val="Drop Downs"/>
    </sheetNames>
    <sheetDataSet>
      <sheetData sheetId="0"/>
      <sheetData sheetId="1"/>
      <sheetData sheetId="2"/>
      <sheetData sheetId="3"/>
      <sheetData sheetId="4"/>
      <sheetData sheetId="5"/>
      <sheetData sheetId="6"/>
      <sheetData sheetId="7"/>
      <sheetData sheetId="8">
        <row r="11">
          <cell r="G11"/>
        </row>
        <row r="12">
          <cell r="G12"/>
        </row>
        <row r="13">
          <cell r="G13"/>
        </row>
        <row r="14">
          <cell r="G14"/>
        </row>
        <row r="15">
          <cell r="G15"/>
        </row>
        <row r="16">
          <cell r="G16"/>
        </row>
        <row r="17">
          <cell r="G17"/>
        </row>
        <row r="18">
          <cell r="G18"/>
        </row>
        <row r="19">
          <cell r="G19"/>
        </row>
        <row r="20">
          <cell r="G20"/>
        </row>
        <row r="21">
          <cell r="G21"/>
        </row>
        <row r="22">
          <cell r="G22"/>
        </row>
        <row r="23">
          <cell r="G23"/>
        </row>
        <row r="24">
          <cell r="G24"/>
        </row>
        <row r="25">
          <cell r="G25"/>
        </row>
        <row r="26">
          <cell r="G26"/>
        </row>
        <row r="27">
          <cell r="G27"/>
        </row>
        <row r="28">
          <cell r="G28"/>
        </row>
        <row r="29">
          <cell r="G29"/>
        </row>
        <row r="30">
          <cell r="G30"/>
        </row>
        <row r="31">
          <cell r="G31"/>
        </row>
        <row r="32">
          <cell r="G32"/>
        </row>
        <row r="33">
          <cell r="G33"/>
        </row>
        <row r="34">
          <cell r="G34"/>
        </row>
        <row r="35">
          <cell r="G35"/>
        </row>
        <row r="36">
          <cell r="G36"/>
        </row>
        <row r="37">
          <cell r="G37"/>
        </row>
        <row r="38">
          <cell r="G38"/>
        </row>
        <row r="39">
          <cell r="G39"/>
        </row>
        <row r="40">
          <cell r="G40"/>
        </row>
        <row r="41">
          <cell r="G41"/>
        </row>
        <row r="42">
          <cell r="G42"/>
        </row>
        <row r="43">
          <cell r="G43"/>
        </row>
        <row r="44">
          <cell r="G44"/>
        </row>
        <row r="45">
          <cell r="G45"/>
        </row>
        <row r="46">
          <cell r="G46"/>
        </row>
        <row r="47">
          <cell r="G47"/>
        </row>
        <row r="48">
          <cell r="G48"/>
        </row>
        <row r="49">
          <cell r="G49"/>
        </row>
        <row r="50">
          <cell r="G50"/>
        </row>
        <row r="51">
          <cell r="G51"/>
        </row>
        <row r="52">
          <cell r="G52"/>
        </row>
        <row r="53">
          <cell r="G53"/>
        </row>
        <row r="54">
          <cell r="G54"/>
        </row>
        <row r="55">
          <cell r="G55"/>
        </row>
        <row r="56">
          <cell r="G56"/>
        </row>
        <row r="57">
          <cell r="G57"/>
        </row>
        <row r="58">
          <cell r="G58"/>
        </row>
        <row r="59">
          <cell r="G59"/>
        </row>
        <row r="60">
          <cell r="G60"/>
        </row>
        <row r="61">
          <cell r="G61"/>
        </row>
        <row r="62">
          <cell r="G62"/>
        </row>
        <row r="63">
          <cell r="G63"/>
        </row>
        <row r="64">
          <cell r="G64"/>
        </row>
        <row r="65">
          <cell r="G65"/>
        </row>
        <row r="66">
          <cell r="G66"/>
        </row>
        <row r="67">
          <cell r="G67"/>
        </row>
        <row r="68">
          <cell r="G68"/>
        </row>
        <row r="69">
          <cell r="G69"/>
        </row>
        <row r="70">
          <cell r="G70"/>
        </row>
        <row r="71">
          <cell r="G71"/>
        </row>
        <row r="72">
          <cell r="G72"/>
        </row>
        <row r="73">
          <cell r="G73"/>
        </row>
        <row r="74">
          <cell r="G74"/>
        </row>
        <row r="75">
          <cell r="G75"/>
        </row>
        <row r="76">
          <cell r="G76"/>
        </row>
        <row r="77">
          <cell r="G77"/>
        </row>
        <row r="78">
          <cell r="G78"/>
        </row>
        <row r="79">
          <cell r="G79"/>
        </row>
        <row r="80">
          <cell r="G80"/>
        </row>
        <row r="81">
          <cell r="G81"/>
        </row>
        <row r="82">
          <cell r="G82"/>
        </row>
        <row r="83">
          <cell r="G83"/>
        </row>
        <row r="84">
          <cell r="G84"/>
        </row>
        <row r="85">
          <cell r="G85"/>
        </row>
        <row r="86">
          <cell r="G86"/>
        </row>
        <row r="87">
          <cell r="G87"/>
        </row>
        <row r="88">
          <cell r="G88"/>
        </row>
        <row r="89">
          <cell r="G89"/>
        </row>
        <row r="90">
          <cell r="G90"/>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9"/>
  <sheetViews>
    <sheetView showRowColHeaders="0" tabSelected="1" zoomScaleNormal="100" workbookViewId="0">
      <selection activeCell="D12" sqref="D12"/>
    </sheetView>
  </sheetViews>
  <sheetFormatPr defaultRowHeight="14.4" x14ac:dyDescent="0.3"/>
  <cols>
    <col min="1" max="1" width="18.33203125" style="166" customWidth="1"/>
    <col min="2" max="2" width="29.6640625" style="166" customWidth="1"/>
    <col min="3" max="3" width="1.6640625" style="166" customWidth="1"/>
    <col min="4" max="4" width="143.109375" style="166" customWidth="1"/>
    <col min="5" max="5" width="18.33203125" style="166" customWidth="1"/>
    <col min="6" max="16384" width="8.88671875" style="166"/>
  </cols>
  <sheetData>
    <row r="1" spans="2:4" ht="14.4" customHeight="1" x14ac:dyDescent="0.3"/>
    <row r="2" spans="2:4" ht="126" customHeight="1" x14ac:dyDescent="0.3">
      <c r="B2" s="207"/>
      <c r="C2" s="207"/>
      <c r="D2" s="207"/>
    </row>
    <row r="3" spans="2:4" ht="133.19999999999999" customHeight="1" thickBot="1" x14ac:dyDescent="0.35">
      <c r="B3" s="208" t="s">
        <v>116</v>
      </c>
      <c r="C3" s="208"/>
      <c r="D3" s="208"/>
    </row>
    <row r="4" spans="2:4" ht="14.4" customHeight="1" thickTop="1" x14ac:dyDescent="0.3">
      <c r="B4" s="167"/>
      <c r="C4" s="168"/>
      <c r="D4" s="169"/>
    </row>
    <row r="5" spans="2:4" ht="18" x14ac:dyDescent="0.3">
      <c r="B5" s="209" t="s">
        <v>59</v>
      </c>
      <c r="C5" s="210"/>
      <c r="D5" s="211"/>
    </row>
    <row r="6" spans="2:4" ht="6" customHeight="1" x14ac:dyDescent="0.3">
      <c r="B6" s="170"/>
      <c r="C6" s="171"/>
      <c r="D6" s="172"/>
    </row>
    <row r="7" spans="2:4" ht="43.2" customHeight="1" x14ac:dyDescent="0.3">
      <c r="B7" s="204" t="s">
        <v>82</v>
      </c>
      <c r="C7" s="205"/>
      <c r="D7" s="206"/>
    </row>
    <row r="8" spans="2:4" ht="21" customHeight="1" x14ac:dyDescent="0.3">
      <c r="B8" s="138" t="s">
        <v>60</v>
      </c>
      <c r="C8" s="173" t="s">
        <v>86</v>
      </c>
      <c r="D8" s="174" t="s">
        <v>117</v>
      </c>
    </row>
    <row r="9" spans="2:4" ht="35.4" customHeight="1" x14ac:dyDescent="0.3">
      <c r="B9" s="138" t="s">
        <v>61</v>
      </c>
      <c r="C9" s="173" t="s">
        <v>86</v>
      </c>
      <c r="D9" s="174" t="s">
        <v>87</v>
      </c>
    </row>
    <row r="10" spans="2:4" ht="21" customHeight="1" x14ac:dyDescent="0.3">
      <c r="B10" s="138" t="s">
        <v>62</v>
      </c>
      <c r="C10" s="173" t="s">
        <v>86</v>
      </c>
      <c r="D10" s="174" t="s">
        <v>119</v>
      </c>
    </row>
    <row r="11" spans="2:4" ht="43.2" customHeight="1" x14ac:dyDescent="0.3">
      <c r="B11" s="138" t="s">
        <v>63</v>
      </c>
      <c r="C11" s="173" t="s">
        <v>86</v>
      </c>
      <c r="D11" s="174" t="s">
        <v>88</v>
      </c>
    </row>
    <row r="12" spans="2:4" ht="13.8" customHeight="1" x14ac:dyDescent="0.3">
      <c r="B12" s="170"/>
      <c r="C12" s="171"/>
      <c r="D12" s="172"/>
    </row>
    <row r="13" spans="2:4" ht="57.6" customHeight="1" x14ac:dyDescent="0.3">
      <c r="B13" s="204" t="s">
        <v>83</v>
      </c>
      <c r="C13" s="205"/>
      <c r="D13" s="206"/>
    </row>
    <row r="14" spans="2:4" ht="21" customHeight="1" x14ac:dyDescent="0.3">
      <c r="B14" s="138" t="s">
        <v>64</v>
      </c>
      <c r="C14" s="173" t="s">
        <v>86</v>
      </c>
      <c r="D14" s="174" t="s">
        <v>89</v>
      </c>
    </row>
    <row r="15" spans="2:4" ht="64.2" customHeight="1" x14ac:dyDescent="0.3">
      <c r="B15" s="138" t="s">
        <v>65</v>
      </c>
      <c r="C15" s="173" t="s">
        <v>86</v>
      </c>
      <c r="D15" s="174" t="s">
        <v>90</v>
      </c>
    </row>
    <row r="16" spans="2:4" ht="35.4" customHeight="1" x14ac:dyDescent="0.3">
      <c r="B16" s="138" t="s">
        <v>67</v>
      </c>
      <c r="C16" s="173" t="s">
        <v>86</v>
      </c>
      <c r="D16" s="175" t="s">
        <v>91</v>
      </c>
    </row>
    <row r="17" spans="2:4" ht="49.8" customHeight="1" x14ac:dyDescent="0.3">
      <c r="B17" s="138" t="s">
        <v>66</v>
      </c>
      <c r="C17" s="173" t="s">
        <v>86</v>
      </c>
      <c r="D17" s="174" t="s">
        <v>92</v>
      </c>
    </row>
    <row r="18" spans="2:4" ht="35.4" customHeight="1" x14ac:dyDescent="0.3">
      <c r="B18" s="176" t="s">
        <v>68</v>
      </c>
      <c r="C18" s="173" t="s">
        <v>86</v>
      </c>
      <c r="D18" s="174" t="s">
        <v>93</v>
      </c>
    </row>
    <row r="19" spans="2:4" ht="28.8" x14ac:dyDescent="0.3">
      <c r="B19" s="176" t="s">
        <v>69</v>
      </c>
      <c r="C19" s="173" t="s">
        <v>86</v>
      </c>
      <c r="D19" s="174" t="s">
        <v>94</v>
      </c>
    </row>
    <row r="20" spans="2:4" ht="13.8" customHeight="1" x14ac:dyDescent="0.3">
      <c r="B20" s="170"/>
      <c r="C20" s="171"/>
      <c r="D20" s="172"/>
    </row>
    <row r="21" spans="2:4" ht="28.8" customHeight="1" x14ac:dyDescent="0.3">
      <c r="B21" s="204" t="s">
        <v>84</v>
      </c>
      <c r="C21" s="205"/>
      <c r="D21" s="206"/>
    </row>
    <row r="22" spans="2:4" ht="18" x14ac:dyDescent="0.3">
      <c r="B22" s="209" t="s">
        <v>70</v>
      </c>
      <c r="C22" s="210"/>
      <c r="D22" s="211"/>
    </row>
    <row r="23" spans="2:4" ht="13.8" customHeight="1" x14ac:dyDescent="0.3">
      <c r="B23" s="170"/>
      <c r="C23" s="171"/>
      <c r="D23" s="172"/>
    </row>
    <row r="24" spans="2:4" ht="57.6" customHeight="1" x14ac:dyDescent="0.3">
      <c r="B24" s="204" t="s">
        <v>85</v>
      </c>
      <c r="C24" s="205"/>
      <c r="D24" s="206"/>
    </row>
    <row r="25" spans="2:4" ht="78.599999999999994" customHeight="1" x14ac:dyDescent="0.3">
      <c r="B25" s="138" t="s">
        <v>71</v>
      </c>
      <c r="C25" s="173" t="s">
        <v>86</v>
      </c>
      <c r="D25" s="174" t="s">
        <v>102</v>
      </c>
    </row>
    <row r="26" spans="2:4" ht="78.599999999999994" customHeight="1" x14ac:dyDescent="0.3">
      <c r="B26" s="138" t="s">
        <v>72</v>
      </c>
      <c r="C26" s="173" t="s">
        <v>86</v>
      </c>
      <c r="D26" s="174" t="s">
        <v>95</v>
      </c>
    </row>
    <row r="27" spans="2:4" ht="21" customHeight="1" x14ac:dyDescent="0.3">
      <c r="B27" s="138" t="s">
        <v>73</v>
      </c>
      <c r="C27" s="173" t="s">
        <v>86</v>
      </c>
      <c r="D27" s="174" t="s">
        <v>96</v>
      </c>
    </row>
    <row r="28" spans="2:4" ht="21" customHeight="1" x14ac:dyDescent="0.3">
      <c r="B28" s="138" t="s">
        <v>67</v>
      </c>
      <c r="C28" s="173" t="s">
        <v>86</v>
      </c>
      <c r="D28" s="174" t="s">
        <v>97</v>
      </c>
    </row>
    <row r="29" spans="2:4" ht="21" customHeight="1" x14ac:dyDescent="0.3">
      <c r="B29" s="176" t="s">
        <v>75</v>
      </c>
      <c r="C29" s="173" t="s">
        <v>86</v>
      </c>
      <c r="D29" s="174" t="s">
        <v>98</v>
      </c>
    </row>
    <row r="30" spans="2:4" ht="28.8" x14ac:dyDescent="0.3">
      <c r="B30" s="138" t="s">
        <v>74</v>
      </c>
      <c r="C30" s="173" t="s">
        <v>86</v>
      </c>
      <c r="D30" s="174" t="s">
        <v>118</v>
      </c>
    </row>
    <row r="31" spans="2:4" ht="13.8" customHeight="1" x14ac:dyDescent="0.3">
      <c r="B31" s="170"/>
      <c r="C31" s="171"/>
      <c r="D31" s="172"/>
    </row>
    <row r="32" spans="2:4" ht="43.2" customHeight="1" x14ac:dyDescent="0.3">
      <c r="B32" s="204" t="s">
        <v>108</v>
      </c>
      <c r="C32" s="205"/>
      <c r="D32" s="206"/>
    </row>
    <row r="33" spans="2:4" ht="49.8" customHeight="1" x14ac:dyDescent="0.3">
      <c r="B33" s="138" t="s">
        <v>103</v>
      </c>
      <c r="C33" s="173" t="s">
        <v>86</v>
      </c>
      <c r="D33" s="174" t="s">
        <v>109</v>
      </c>
    </row>
    <row r="34" spans="2:4" ht="64.2" customHeight="1" x14ac:dyDescent="0.3">
      <c r="B34" s="176" t="s">
        <v>104</v>
      </c>
      <c r="C34" s="173" t="s">
        <v>86</v>
      </c>
      <c r="D34" s="174" t="s">
        <v>110</v>
      </c>
    </row>
    <row r="35" spans="2:4" ht="49.8" customHeight="1" x14ac:dyDescent="0.3">
      <c r="B35" s="176" t="s">
        <v>105</v>
      </c>
      <c r="C35" s="173" t="s">
        <v>86</v>
      </c>
      <c r="D35" s="174" t="s">
        <v>111</v>
      </c>
    </row>
    <row r="36" spans="2:4" ht="64.2" customHeight="1" x14ac:dyDescent="0.3">
      <c r="B36" s="176" t="s">
        <v>106</v>
      </c>
      <c r="C36" s="173" t="s">
        <v>86</v>
      </c>
      <c r="D36" s="174" t="s">
        <v>112</v>
      </c>
    </row>
    <row r="37" spans="2:4" ht="57.6" x14ac:dyDescent="0.3">
      <c r="B37" s="176" t="s">
        <v>107</v>
      </c>
      <c r="C37" s="173" t="s">
        <v>86</v>
      </c>
      <c r="D37" s="174" t="s">
        <v>113</v>
      </c>
    </row>
    <row r="38" spans="2:4" ht="13.8" customHeight="1" x14ac:dyDescent="0.3">
      <c r="B38" s="176"/>
      <c r="C38" s="177"/>
      <c r="D38" s="178"/>
    </row>
    <row r="39" spans="2:4" ht="100.8" customHeight="1" x14ac:dyDescent="0.3">
      <c r="B39" s="204" t="s">
        <v>114</v>
      </c>
      <c r="C39" s="205"/>
      <c r="D39" s="206"/>
    </row>
    <row r="40" spans="2:4" ht="18" x14ac:dyDescent="0.3">
      <c r="B40" s="209" t="s">
        <v>76</v>
      </c>
      <c r="C40" s="210"/>
      <c r="D40" s="211"/>
    </row>
    <row r="41" spans="2:4" ht="13.8" customHeight="1" x14ac:dyDescent="0.3">
      <c r="B41" s="170"/>
      <c r="C41" s="171"/>
      <c r="D41" s="172"/>
    </row>
    <row r="42" spans="2:4" ht="129.6" customHeight="1" x14ac:dyDescent="0.3">
      <c r="B42" s="204" t="s">
        <v>77</v>
      </c>
      <c r="C42" s="205"/>
      <c r="D42" s="206"/>
    </row>
    <row r="43" spans="2:4" ht="18" x14ac:dyDescent="0.3">
      <c r="B43" s="209" t="s">
        <v>78</v>
      </c>
      <c r="C43" s="210"/>
      <c r="D43" s="211"/>
    </row>
    <row r="44" spans="2:4" x14ac:dyDescent="0.3">
      <c r="B44" s="170"/>
      <c r="C44" s="171"/>
      <c r="D44" s="172"/>
    </row>
    <row r="45" spans="2:4" ht="21" customHeight="1" x14ac:dyDescent="0.3">
      <c r="B45" s="176" t="s">
        <v>79</v>
      </c>
      <c r="C45" s="173" t="s">
        <v>86</v>
      </c>
      <c r="D45" s="174" t="s">
        <v>101</v>
      </c>
    </row>
    <row r="46" spans="2:4" ht="35.4" customHeight="1" x14ac:dyDescent="0.3">
      <c r="B46" s="176" t="s">
        <v>80</v>
      </c>
      <c r="C46" s="173" t="s">
        <v>86</v>
      </c>
      <c r="D46" s="174" t="s">
        <v>100</v>
      </c>
    </row>
    <row r="47" spans="2:4" x14ac:dyDescent="0.3">
      <c r="B47" s="176" t="s">
        <v>81</v>
      </c>
      <c r="C47" s="173" t="s">
        <v>86</v>
      </c>
      <c r="D47" s="175" t="s">
        <v>99</v>
      </c>
    </row>
    <row r="48" spans="2:4" ht="15" thickBot="1" x14ac:dyDescent="0.35">
      <c r="B48" s="179"/>
      <c r="C48" s="180"/>
      <c r="D48" s="181"/>
    </row>
    <row r="49" ht="15" thickTop="1" x14ac:dyDescent="0.3"/>
  </sheetData>
  <sheetProtection algorithmName="SHA-512" hashValue="hgcsDDov7Afg+Ghkv0ckVZCXuVdC37XtOudBbi6BKe+ce3hObINC193ESHAg7XPYZ3WDrGeIO64BKxdaMdwPnw==" saltValue="iIEGjSecnl595EEii0Rdhg==" spinCount="100000" sheet="1" objects="1" scenarios="1" selectLockedCells="1"/>
  <mergeCells count="13">
    <mergeCell ref="B43:D43"/>
    <mergeCell ref="B22:D22"/>
    <mergeCell ref="B24:D24"/>
    <mergeCell ref="B32:D32"/>
    <mergeCell ref="B39:D39"/>
    <mergeCell ref="B40:D40"/>
    <mergeCell ref="B42:D42"/>
    <mergeCell ref="B21:D21"/>
    <mergeCell ref="B2:D2"/>
    <mergeCell ref="B3:D3"/>
    <mergeCell ref="B5:D5"/>
    <mergeCell ref="B7:D7"/>
    <mergeCell ref="B13:D13"/>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86"/>
  <sheetViews>
    <sheetView showGridLines="0" showRowColHeaders="0" zoomScaleNormal="100" workbookViewId="0">
      <pane ySplit="6" topLeftCell="A7" activePane="bottomLeft" state="frozen"/>
      <selection pane="bottomLeft" activeCell="E12" sqref="E12"/>
    </sheetView>
  </sheetViews>
  <sheetFormatPr defaultRowHeight="14.4" x14ac:dyDescent="0.3"/>
  <cols>
    <col min="1" max="1" width="17.44140625" customWidth="1"/>
    <col min="2" max="2" width="8.88671875" hidden="1" customWidth="1"/>
    <col min="5" max="5" width="55.6640625" customWidth="1"/>
    <col min="6" max="6" width="33.6640625" customWidth="1"/>
    <col min="7" max="7" width="23.109375" customWidth="1"/>
    <col min="8" max="8" width="13.44140625" customWidth="1"/>
    <col min="9" max="14" width="9.44140625" hidden="1" customWidth="1"/>
    <col min="15" max="15" width="8.88671875" customWidth="1"/>
    <col min="16" max="16" width="8.88671875" hidden="1" customWidth="1"/>
    <col min="17" max="17" width="23.109375" customWidth="1"/>
    <col min="18" max="20" width="8.88671875" hidden="1" customWidth="1"/>
    <col min="21" max="21" width="12.5546875" hidden="1" customWidth="1"/>
    <col min="22" max="22" width="8.88671875" hidden="1" customWidth="1"/>
    <col min="23" max="23" width="1.6640625" hidden="1" customWidth="1"/>
    <col min="24" max="27" width="8.88671875" hidden="1" customWidth="1"/>
    <col min="28" max="28" width="1.6640625" hidden="1" customWidth="1"/>
    <col min="29" max="36" width="8.88671875" hidden="1" customWidth="1"/>
    <col min="37" max="37" width="15.6640625" customWidth="1"/>
  </cols>
  <sheetData>
    <row r="1" spans="1:36" ht="8.4" customHeight="1" thickBot="1" x14ac:dyDescent="0.35">
      <c r="A1" s="131">
        <f>SUM(C7:C86)</f>
        <v>0</v>
      </c>
    </row>
    <row r="2" spans="1:36" ht="14.4" customHeight="1" thickBot="1" x14ac:dyDescent="0.35">
      <c r="C2" s="218" t="s">
        <v>23</v>
      </c>
      <c r="D2" s="218"/>
      <c r="E2" s="81"/>
      <c r="F2" s="52" t="s">
        <v>33</v>
      </c>
      <c r="G2" s="222" t="s">
        <v>48</v>
      </c>
      <c r="H2" s="223"/>
      <c r="I2" s="35"/>
      <c r="J2" s="35"/>
      <c r="K2" s="35"/>
      <c r="L2" s="35"/>
      <c r="M2" s="35"/>
      <c r="N2" s="35"/>
      <c r="O2" s="35"/>
      <c r="P2" s="35"/>
      <c r="Q2" s="35"/>
      <c r="R2" s="35"/>
      <c r="S2" s="35"/>
      <c r="T2" s="35"/>
      <c r="U2" s="35"/>
    </row>
    <row r="3" spans="1:36" ht="8.4" customHeight="1" thickBot="1" x14ac:dyDescent="0.35">
      <c r="C3" s="27"/>
      <c r="D3" s="27"/>
      <c r="E3" s="34"/>
      <c r="F3" s="15"/>
      <c r="G3" s="35"/>
      <c r="H3" s="35"/>
      <c r="I3" s="35"/>
      <c r="J3" s="35"/>
      <c r="K3" s="35"/>
      <c r="L3" s="35"/>
      <c r="M3" s="35"/>
      <c r="N3" s="35"/>
      <c r="O3" s="35"/>
      <c r="P3" s="35"/>
      <c r="Q3" s="35"/>
      <c r="R3" s="35"/>
      <c r="S3" s="35"/>
      <c r="T3" s="35"/>
      <c r="U3" s="35"/>
    </row>
    <row r="4" spans="1:36" ht="14.4" customHeight="1" thickBot="1" x14ac:dyDescent="0.35">
      <c r="C4" s="219" t="s">
        <v>22</v>
      </c>
      <c r="D4" s="219"/>
      <c r="E4" s="81">
        <v>1250</v>
      </c>
      <c r="F4" s="15" t="s">
        <v>34</v>
      </c>
      <c r="G4" s="220">
        <v>5</v>
      </c>
      <c r="H4" s="221"/>
      <c r="I4" s="65"/>
      <c r="J4" s="65"/>
      <c r="K4" s="65"/>
      <c r="L4" s="65"/>
      <c r="M4" s="65"/>
      <c r="N4" s="65"/>
      <c r="O4" s="35"/>
      <c r="P4" s="35"/>
      <c r="Q4" s="62">
        <f>SUM(P7:P86)</f>
        <v>0</v>
      </c>
      <c r="R4" s="62"/>
      <c r="S4" s="62"/>
      <c r="T4" s="62"/>
      <c r="U4" s="35"/>
      <c r="X4" s="212" t="s">
        <v>39</v>
      </c>
      <c r="Y4" s="213"/>
      <c r="Z4" s="213"/>
      <c r="AA4" s="214"/>
      <c r="AD4" s="212" t="s">
        <v>40</v>
      </c>
      <c r="AE4" s="213"/>
      <c r="AF4" s="213"/>
      <c r="AG4" s="213"/>
      <c r="AH4" s="213"/>
      <c r="AI4" s="213"/>
      <c r="AJ4" s="214"/>
    </row>
    <row r="5" spans="1:36" ht="8.4" customHeight="1" thickBot="1" x14ac:dyDescent="0.35">
      <c r="X5" s="215"/>
      <c r="Y5" s="216"/>
      <c r="Z5" s="216"/>
      <c r="AA5" s="217"/>
      <c r="AD5" s="215"/>
      <c r="AE5" s="216"/>
      <c r="AF5" s="216"/>
      <c r="AG5" s="216"/>
      <c r="AH5" s="216"/>
      <c r="AI5" s="216"/>
      <c r="AJ5" s="217"/>
    </row>
    <row r="6" spans="1:36" ht="24.6" thickBot="1" x14ac:dyDescent="0.35">
      <c r="B6" s="53" t="s">
        <v>29</v>
      </c>
      <c r="C6" s="28" t="s">
        <v>7</v>
      </c>
      <c r="D6" s="28" t="s">
        <v>8</v>
      </c>
      <c r="E6" s="28" t="s">
        <v>2</v>
      </c>
      <c r="F6" s="28" t="s">
        <v>9</v>
      </c>
      <c r="G6" s="28" t="s">
        <v>20</v>
      </c>
      <c r="H6" s="28" t="s">
        <v>10</v>
      </c>
      <c r="I6" s="63" t="s">
        <v>12</v>
      </c>
      <c r="J6" s="63" t="s">
        <v>42</v>
      </c>
      <c r="K6" s="63" t="s">
        <v>14</v>
      </c>
      <c r="L6" s="63" t="s">
        <v>56</v>
      </c>
      <c r="M6" s="63" t="s">
        <v>57</v>
      </c>
      <c r="N6" s="63" t="s">
        <v>58</v>
      </c>
      <c r="O6" s="39"/>
      <c r="P6" s="63" t="s">
        <v>51</v>
      </c>
      <c r="Q6" s="28" t="s">
        <v>49</v>
      </c>
      <c r="R6" s="63" t="s">
        <v>53</v>
      </c>
      <c r="S6" s="63" t="s">
        <v>54</v>
      </c>
      <c r="T6" s="63" t="s">
        <v>55</v>
      </c>
      <c r="U6" s="63" t="s">
        <v>50</v>
      </c>
      <c r="X6" s="28">
        <v>1</v>
      </c>
      <c r="Y6" s="28">
        <v>2</v>
      </c>
      <c r="Z6" s="28">
        <v>3</v>
      </c>
      <c r="AA6" s="28">
        <v>4</v>
      </c>
      <c r="AD6" s="28">
        <v>1</v>
      </c>
      <c r="AE6" s="28">
        <v>2</v>
      </c>
      <c r="AF6" s="28">
        <v>3</v>
      </c>
      <c r="AG6" s="28">
        <v>4</v>
      </c>
      <c r="AH6" s="28">
        <v>5</v>
      </c>
      <c r="AI6" s="28" t="s">
        <v>27</v>
      </c>
      <c r="AJ6" s="28" t="s">
        <v>41</v>
      </c>
    </row>
    <row r="7" spans="1:36" ht="14.4" customHeight="1" thickBot="1" x14ac:dyDescent="0.35">
      <c r="B7" s="54" t="str">
        <f>IF(AI7="","",IF(COUNTIF(AI:AI,AI7)=1,RANK(AI7,AI:AI),RANK(AJ7,AJ:AJ)))</f>
        <v/>
      </c>
      <c r="C7" s="2" t="str">
        <f t="shared" ref="C7:C38" si="0">IF(E7="","",V7)</f>
        <v/>
      </c>
      <c r="D7" s="66"/>
      <c r="E7" s="67"/>
      <c r="F7" s="66"/>
      <c r="G7" s="68"/>
      <c r="H7" s="69"/>
      <c r="I7" s="64">
        <f t="array" ref="I7">IF(H7&lt;&gt;"UCM",0,IF(AI7=LARGE(IF($H:$H="UCM",$AI:$AI,""),1),1,0))</f>
        <v>0</v>
      </c>
      <c r="J7" s="64">
        <f t="array" ref="J7">IF(H7&lt;&gt;"Scourge",0,IF(AI7=LARGE(IF($H:$H="Scourge",$AI:$AI,""),1),1,0))</f>
        <v>0</v>
      </c>
      <c r="K7" s="64">
        <f t="array" ref="K7">IF(H7&lt;&gt;"PHR",0,IF(AI7=LARGE(IF($H:$H="PHR",$AI:$AI,""),1),1,0))</f>
        <v>0</v>
      </c>
      <c r="L7" s="64">
        <f t="array" ref="L7">IF(H7&lt;&gt;"Shaltari",0,IF(AI7=LARGE(IF($H:$H="Shaltari",$AI:$AI,""),1),1,0))</f>
        <v>0</v>
      </c>
      <c r="M7" s="64">
        <f t="array" ref="M7">IF(H7&lt;&gt;"Resistance",0,IF(AI7=LARGE(IF($H:$H="Resistance",$AI:$AI,""),1),1,0))</f>
        <v>0</v>
      </c>
      <c r="N7" s="64">
        <f>E7</f>
        <v>0</v>
      </c>
      <c r="O7" s="35"/>
      <c r="P7" s="64" t="str">
        <f>IF(Q7="","",RANK(U7,U:U))</f>
        <v/>
      </c>
      <c r="Q7" s="78"/>
      <c r="R7" s="64">
        <f t="array" ref="R7">IF(Q7="",0,IF(COUNTIF(G:G,Q7)&gt;=1,LARGE(IF($G:$G=Q7,$AI:$AI),1),0))</f>
        <v>0</v>
      </c>
      <c r="S7" s="64">
        <f t="array" ref="S7">IF(Q7="",0,IF(COUNTIF(G:G,Q7)&gt;=2,LARGE(IF($G:$G=Q7,$AI:$AI),2),0))</f>
        <v>0</v>
      </c>
      <c r="T7" s="64">
        <f t="array" ref="T7">IF(Q7="",0,IF(COUNTIF(G:G,Q7)&gt;=3,LARGE(IF($G:$G=Q7,$AI:$AI),3),0))</f>
        <v>0</v>
      </c>
      <c r="U7" s="64">
        <f>SUM(R7:T7)</f>
        <v>0</v>
      </c>
      <c r="V7">
        <v>1</v>
      </c>
      <c r="X7" s="2" t="str">
        <f>VLOOKUP(C7,'Round 1'!$D:$G,4,FALSE)</f>
        <v/>
      </c>
      <c r="Y7" s="6" t="str">
        <f>IF(COUNTIF('Round 2'!$D:$D,C7)=1,VLOOKUP(C7,'Round 2'!$D:$G,4,FALSE),"")</f>
        <v/>
      </c>
      <c r="Z7" s="6" t="str">
        <f>IF(COUNTIF('Round 3'!$D:$D,C7)=1,VLOOKUP(C7,'Round 3'!$D:$G,4,FALSE),"")</f>
        <v/>
      </c>
      <c r="AA7" s="8" t="str">
        <f>IF(COUNTIF('Round 4'!$D:$D,C7)=1,VLOOKUP(C7,'Round 4'!$D:$G,4,FALSE),"")</f>
        <v/>
      </c>
      <c r="AC7">
        <f>G4</f>
        <v>5</v>
      </c>
      <c r="AD7" s="2" t="str">
        <f>IF(C7="","",IF(COUNTIF('Round 1'!$D:$D,C7)=1,IF(VLOOKUP(C7,'Round 1'!$D:$Q,14,FALSE)="",0,IF(AC7&gt;=1,(VLOOKUP(C7,'Round 1'!$D:$Q,14,FALSE)*10000)+VLOOKUP(C7,'Round 1'!$D:$K,8,FALSE),0)),0))</f>
        <v/>
      </c>
      <c r="AE7" s="6" t="str">
        <f>IF(C7="","",IF(COUNTIF('Round 2'!$D:$D,C7)=1,IF(VLOOKUP(C7,'Round 2'!$D:$Q,14,FALSE)="",0,IF(AC7&gt;=2,(VLOOKUP(C7,'Round 2'!$D:$Q,14,FALSE)*10000)+VLOOKUP(C7,'Round 2'!$D:$K,8,FALSE),0)),0))</f>
        <v/>
      </c>
      <c r="AF7" s="6" t="str">
        <f>IF(C7="","",IF(COUNTIF('Round 3'!$D:$D,C7)=1,IF(VLOOKUP(C7,'Round 3'!$D:$Q,14,FALSE)="",0,IF(AC7&gt;=3,(VLOOKUP(C7,'Round 3'!$D:$Q,14,FALSE)*10000)+VLOOKUP(C7,'Round 3'!$D:$K,8,FALSE),0)),0))</f>
        <v/>
      </c>
      <c r="AG7" s="6" t="str">
        <f>IF(C7="","",IF(COUNTIF('Round 4'!$D:$D,C7)=1,IF(VLOOKUP(C7,'Round 4'!$D:$Q,14,FALSE)="",0,IF(AC7&gt;=4,(VLOOKUP(C7,'Round 4'!$D:$Q,14,FALSE)*10000)+VLOOKUP(C7,'Round 4'!$D:$K,8,FALSE),0)),0))</f>
        <v/>
      </c>
      <c r="AH7" s="29" t="str">
        <f>IF(C7="","",IF(COUNTIF('Round 5'!$D:$D,C7)=1,IF(VLOOKUP(C7,'Round 5'!$D:$Q,14,FALSE)="",0,IF(AC7&gt;=5,(VLOOKUP(C7,'Round 5'!$D:$Q,14,FALSE)*10000)+VLOOKUP(C7,'Round 5'!$D:$K,8,FALSE),0)),0))</f>
        <v/>
      </c>
      <c r="AI7" s="56" t="str">
        <f t="shared" ref="AI7:AI38" si="1">IF(C7="","",SUM(AD7:AH7))</f>
        <v/>
      </c>
      <c r="AJ7" s="57" t="str">
        <f t="shared" ref="AJ7:AJ38" si="2">IF(AI7="","",AI7+LARGE(C:C,1)+1-C7)</f>
        <v/>
      </c>
    </row>
    <row r="8" spans="1:36" ht="15" thickBot="1" x14ac:dyDescent="0.35">
      <c r="B8" s="54" t="str">
        <f t="shared" ref="B8:B71" si="3">IF(AI8="","",IF(COUNTIF(AI:AI,AI8)=1,RANK(AI8,AI:AI),RANK(AJ8,AJ:AJ)))</f>
        <v/>
      </c>
      <c r="C8" s="9" t="str">
        <f t="shared" si="0"/>
        <v/>
      </c>
      <c r="D8" s="70"/>
      <c r="E8" s="71"/>
      <c r="F8" s="70"/>
      <c r="G8" s="72"/>
      <c r="H8" s="73"/>
      <c r="I8" s="64">
        <f t="array" ref="I8">IF(H8&lt;&gt;"UCM",0,IF(AI8=LARGE(IF($H:$H="UCM",$AI:$AI,""),1),1,0))</f>
        <v>0</v>
      </c>
      <c r="J8" s="64">
        <f t="array" ref="J8">IF(H8&lt;&gt;"Scourge",0,IF(AI8=LARGE(IF($H:$H="Scourge",$AI:$AI,""),1),1,0))</f>
        <v>0</v>
      </c>
      <c r="K8" s="64">
        <f t="array" ref="K8">IF(H8&lt;&gt;"PHR",0,IF(AI8=LARGE(IF($H:$H="PHR",$AI:$AI,""),1),1,0))</f>
        <v>0</v>
      </c>
      <c r="L8" s="64">
        <f t="array" ref="L8">IF(H8&lt;&gt;"Shaltari",0,IF(AI8=LARGE(IF($H:$H="Shaltari",$AI:$AI,""),1),1,0))</f>
        <v>0</v>
      </c>
      <c r="M8" s="64">
        <f t="array" ref="M8">IF(H8&lt;&gt;"Resistance",0,IF(AI8=LARGE(IF($H:$H="Resistance",$AI:$AI,""),1),1,0))</f>
        <v>0</v>
      </c>
      <c r="N8" s="64">
        <f t="shared" ref="N8:N71" si="4">E8</f>
        <v>0</v>
      </c>
      <c r="O8" s="35"/>
      <c r="P8" s="64" t="str">
        <f t="shared" ref="P8:P71" si="5">IF(Q8="","",RANK(U8,U:U))</f>
        <v/>
      </c>
      <c r="Q8" s="79"/>
      <c r="R8" s="64">
        <f t="array" ref="R8">IF(Q8="",0,IF(COUNTIF(G:G,Q8)&gt;=1,LARGE(IF($G:$G=Q8,$AI:$AI),1),0))</f>
        <v>0</v>
      </c>
      <c r="S8" s="64">
        <f t="array" ref="S8">IF(Q8="",0,IF(COUNTIF(G:G,Q8)&gt;=2,LARGE(IF($G:$G=Q8,$AI:$AI),2),0))</f>
        <v>0</v>
      </c>
      <c r="T8" s="64">
        <f t="array" ref="T8">IF(Q8="",0,IF(COUNTIF(G:G,Q8)&gt;=3,LARGE(IF($G:$G=Q8,$AI:$AI),3),0))</f>
        <v>0</v>
      </c>
      <c r="U8" s="64">
        <f t="shared" ref="U8:U71" si="6">SUM(R8:T8)</f>
        <v>0</v>
      </c>
      <c r="V8">
        <v>2</v>
      </c>
      <c r="X8" s="9" t="str">
        <f>VLOOKUP(C8,'Round 1'!$D:$G,4,FALSE)</f>
        <v/>
      </c>
      <c r="Y8" s="1" t="str">
        <f>IF(COUNTIF('Round 2'!$D:$D,C8)=1,VLOOKUP(C8,'Round 2'!$D:$G,4,FALSE),"")</f>
        <v/>
      </c>
      <c r="Z8" s="1" t="str">
        <f>IF(COUNTIF('Round 3'!$D:$D,C8)=1,VLOOKUP(C8,'Round 3'!$D:$G,4,FALSE),"")</f>
        <v/>
      </c>
      <c r="AA8" s="10" t="str">
        <f>IF(COUNTIF('Round 4'!$D:$D,C8)=1,VLOOKUP(C8,'Round 4'!$D:$G,4,FALSE),"")</f>
        <v/>
      </c>
      <c r="AC8">
        <f>G4</f>
        <v>5</v>
      </c>
      <c r="AD8" s="9" t="str">
        <f>IF(C8="","",IF(COUNTIF('Round 1'!$D:$D,C8)=1,IF(VLOOKUP(C8,'Round 1'!$D:$Q,14,FALSE)="",0,IF(AC8&gt;=1,(VLOOKUP(C8,'Round 1'!$D:$Q,14,FALSE)*10000)+VLOOKUP(C8,'Round 1'!$D:$K,8,FALSE),0)),0))</f>
        <v/>
      </c>
      <c r="AE8" s="1" t="str">
        <f>IF(C8="","",IF(COUNTIF('Round 2'!$D:$D,C8)=1,IF(VLOOKUP(C8,'Round 2'!$D:$Q,14,FALSE)="",0,IF(AC8&gt;=2,(VLOOKUP(C8,'Round 2'!$D:$Q,14,FALSE)*10000)+VLOOKUP(C8,'Round 2'!$D:$K,8,FALSE),0)),0))</f>
        <v/>
      </c>
      <c r="AF8" s="1" t="str">
        <f>IF(C8="","",IF(COUNTIF('Round 3'!$D:$D,C8)=1,IF(VLOOKUP(C8,'Round 3'!$D:$Q,14,FALSE)="",0,IF(AC8&gt;=3,(VLOOKUP(C8,'Round 3'!$D:$Q,14,FALSE)*10000)+VLOOKUP(C8,'Round 3'!$D:$K,8,FALSE),0)),0))</f>
        <v/>
      </c>
      <c r="AG8" s="1" t="str">
        <f>IF(C8="","",IF(COUNTIF('Round 4'!$D:$D,C8)=1,IF(VLOOKUP(C8,'Round 4'!$D:$Q,14,FALSE)="",0,IF(AC8&gt;=4,(VLOOKUP(C8,'Round 4'!$D:$Q,14,FALSE)*10000)+VLOOKUP(C8,'Round 4'!$D:$K,8,FALSE),0)),0))</f>
        <v/>
      </c>
      <c r="AH8" s="30" t="str">
        <f>IF(C8="","",IF(COUNTIF('Round 5'!$D:$D,C8)=1,IF(VLOOKUP(C8,'Round 5'!$D:$Q,14,FALSE)="",0,IF(AC8&gt;=5,(VLOOKUP(C8,'Round 5'!$D:$Q,14,FALSE)*10000)+VLOOKUP(C8,'Round 5'!$D:$K,8,FALSE),0)),0))</f>
        <v/>
      </c>
      <c r="AI8" s="58" t="str">
        <f t="shared" si="1"/>
        <v/>
      </c>
      <c r="AJ8" s="59" t="str">
        <f t="shared" si="2"/>
        <v/>
      </c>
    </row>
    <row r="9" spans="1:36" ht="15" thickBot="1" x14ac:dyDescent="0.35">
      <c r="B9" s="54" t="str">
        <f t="shared" si="3"/>
        <v/>
      </c>
      <c r="C9" s="9" t="str">
        <f t="shared" si="0"/>
        <v/>
      </c>
      <c r="D9" s="70"/>
      <c r="E9" s="71"/>
      <c r="F9" s="70"/>
      <c r="G9" s="72"/>
      <c r="H9" s="73"/>
      <c r="I9" s="64">
        <f t="array" ref="I9">IF(H9&lt;&gt;"UCM",0,IF(AI9=LARGE(IF($H:$H="UCM",$AI:$AI,""),1),1,0))</f>
        <v>0</v>
      </c>
      <c r="J9" s="64">
        <f t="array" ref="J9">IF(H9&lt;&gt;"Scourge",0,IF(AI9=LARGE(IF($H:$H="Scourge",$AI:$AI,""),1),1,0))</f>
        <v>0</v>
      </c>
      <c r="K9" s="64">
        <f t="array" ref="K9">IF(H9&lt;&gt;"PHR",0,IF(AI9=LARGE(IF($H:$H="PHR",$AI:$AI,""),1),1,0))</f>
        <v>0</v>
      </c>
      <c r="L9" s="64">
        <f t="array" ref="L9">IF(H9&lt;&gt;"Shaltari",0,IF(AI9=LARGE(IF($H:$H="Shaltari",$AI:$AI,""),1),1,0))</f>
        <v>0</v>
      </c>
      <c r="M9" s="64">
        <f t="array" ref="M9">IF(H9&lt;&gt;"Resistance",0,IF(AI9=LARGE(IF($H:$H="Resistance",$AI:$AI,""),1),1,0))</f>
        <v>0</v>
      </c>
      <c r="N9" s="64">
        <f t="shared" si="4"/>
        <v>0</v>
      </c>
      <c r="O9" s="35"/>
      <c r="P9" s="64" t="str">
        <f t="shared" si="5"/>
        <v/>
      </c>
      <c r="Q9" s="79"/>
      <c r="R9" s="64">
        <f t="array" ref="R9">IF(Q9="",0,IF(COUNTIF(G:G,Q9)&gt;=1,LARGE(IF($G:$G=Q9,$AI:$AI),1),0))</f>
        <v>0</v>
      </c>
      <c r="S9" s="64">
        <f t="array" ref="S9">IF(Q9="",0,IF(COUNTIF(G:G,Q9)&gt;=2,LARGE(IF($G:$G=Q9,$AI:$AI),2),0))</f>
        <v>0</v>
      </c>
      <c r="T9" s="64">
        <f t="array" ref="T9">IF(Q9="",0,IF(COUNTIF(G:G,Q9)&gt;=3,LARGE(IF($G:$G=Q9,$AI:$AI),3),0))</f>
        <v>0</v>
      </c>
      <c r="U9" s="64">
        <f t="shared" si="6"/>
        <v>0</v>
      </c>
      <c r="V9">
        <v>3</v>
      </c>
      <c r="X9" s="9" t="str">
        <f>VLOOKUP(C9,'Round 1'!$D:$G,4,FALSE)</f>
        <v/>
      </c>
      <c r="Y9" s="1" t="str">
        <f>IF(COUNTIF('Round 2'!$D:$D,C9)=1,VLOOKUP(C9,'Round 2'!$D:$G,4,FALSE),"")</f>
        <v/>
      </c>
      <c r="Z9" s="1" t="str">
        <f>IF(COUNTIF('Round 3'!$D:$D,C9)=1,VLOOKUP(C9,'Round 3'!$D:$G,4,FALSE),"")</f>
        <v/>
      </c>
      <c r="AA9" s="10" t="str">
        <f>IF(COUNTIF('Round 4'!$D:$D,C9)=1,VLOOKUP(C9,'Round 4'!$D:$G,4,FALSE),"")</f>
        <v/>
      </c>
      <c r="AC9">
        <f>G4</f>
        <v>5</v>
      </c>
      <c r="AD9" s="9" t="str">
        <f>IF(C9="","",IF(COUNTIF('Round 1'!$D:$D,C9)=1,IF(VLOOKUP(C9,'Round 1'!$D:$Q,14,FALSE)="",0,IF(AC9&gt;=1,(VLOOKUP(C9,'Round 1'!$D:$Q,14,FALSE)*10000)+VLOOKUP(C9,'Round 1'!$D:$K,8,FALSE),0)),0))</f>
        <v/>
      </c>
      <c r="AE9" s="1" t="str">
        <f>IF(C9="","",IF(COUNTIF('Round 2'!$D:$D,C9)=1,IF(VLOOKUP(C9,'Round 2'!$D:$Q,14,FALSE)="",0,IF(AC9&gt;=2,(VLOOKUP(C9,'Round 2'!$D:$Q,14,FALSE)*10000)+VLOOKUP(C9,'Round 2'!$D:$K,8,FALSE),0)),0))</f>
        <v/>
      </c>
      <c r="AF9" s="1" t="str">
        <f>IF(C9="","",IF(COUNTIF('Round 3'!$D:$D,C9)=1,IF(VLOOKUP(C9,'Round 3'!$D:$Q,14,FALSE)="",0,IF(AC9&gt;=3,(VLOOKUP(C9,'Round 3'!$D:$Q,14,FALSE)*10000)+VLOOKUP(C9,'Round 3'!$D:$K,8,FALSE),0)),0))</f>
        <v/>
      </c>
      <c r="AG9" s="1" t="str">
        <f>IF(C9="","",IF(COUNTIF('Round 4'!$D:$D,C9)=1,IF(VLOOKUP(C9,'Round 4'!$D:$Q,14,FALSE)="",0,IF(AC9&gt;=4,(VLOOKUP(C9,'Round 4'!$D:$Q,14,FALSE)*10000)+VLOOKUP(C9,'Round 4'!$D:$K,8,FALSE),0)),0))</f>
        <v/>
      </c>
      <c r="AH9" s="30" t="str">
        <f>IF(C9="","",IF(COUNTIF('Round 5'!$D:$D,C9)=1,IF(VLOOKUP(C9,'Round 5'!$D:$Q,14,FALSE)="",0,IF(AC9&gt;=5,(VLOOKUP(C9,'Round 5'!$D:$Q,14,FALSE)*10000)+VLOOKUP(C9,'Round 5'!$D:$K,8,FALSE),0)),0))</f>
        <v/>
      </c>
      <c r="AI9" s="58" t="str">
        <f t="shared" si="1"/>
        <v/>
      </c>
      <c r="AJ9" s="59" t="str">
        <f t="shared" si="2"/>
        <v/>
      </c>
    </row>
    <row r="10" spans="1:36" ht="15" thickBot="1" x14ac:dyDescent="0.35">
      <c r="B10" s="54" t="str">
        <f t="shared" si="3"/>
        <v/>
      </c>
      <c r="C10" s="9" t="str">
        <f t="shared" si="0"/>
        <v/>
      </c>
      <c r="D10" s="70"/>
      <c r="E10" s="71"/>
      <c r="F10" s="70"/>
      <c r="G10" s="72"/>
      <c r="H10" s="73"/>
      <c r="I10" s="64">
        <f t="array" ref="I10">IF(H10&lt;&gt;"UCM",0,IF(AI10=LARGE(IF($H:$H="UCM",$AI:$AI,""),1),1,0))</f>
        <v>0</v>
      </c>
      <c r="J10" s="64">
        <f t="array" ref="J10">IF(H10&lt;&gt;"Scourge",0,IF(AI10=LARGE(IF($H:$H="Scourge",$AI:$AI,""),1),1,0))</f>
        <v>0</v>
      </c>
      <c r="K10" s="64">
        <f t="array" ref="K10">IF(H10&lt;&gt;"PHR",0,IF(AI10=LARGE(IF($H:$H="PHR",$AI:$AI,""),1),1,0))</f>
        <v>0</v>
      </c>
      <c r="L10" s="64">
        <f t="array" ref="L10">IF(H10&lt;&gt;"Shaltari",0,IF(AI10=LARGE(IF($H:$H="Shaltari",$AI:$AI,""),1),1,0))</f>
        <v>0</v>
      </c>
      <c r="M10" s="64">
        <f t="array" ref="M10">IF(H10&lt;&gt;"Resistance",0,IF(AI10=LARGE(IF($H:$H="Resistance",$AI:$AI,""),1),1,0))</f>
        <v>0</v>
      </c>
      <c r="N10" s="64">
        <f t="shared" si="4"/>
        <v>0</v>
      </c>
      <c r="O10" s="35"/>
      <c r="P10" s="64" t="str">
        <f t="shared" si="5"/>
        <v/>
      </c>
      <c r="Q10" s="79"/>
      <c r="R10" s="64">
        <f t="array" ref="R10">IF(Q10="",0,IF(COUNTIF(G:G,Q10)&gt;=1,LARGE(IF($G:$G=Q10,$AI:$AI),1),0))</f>
        <v>0</v>
      </c>
      <c r="S10" s="64">
        <f t="array" ref="S10">IF(Q10="",0,IF(COUNTIF(G:G,Q10)&gt;=2,LARGE(IF($G:$G=Q10,$AI:$AI),2),0))</f>
        <v>0</v>
      </c>
      <c r="T10" s="64">
        <f t="array" ref="T10">IF(Q10="",0,IF(COUNTIF(G:G,Q10)&gt;=3,LARGE(IF($G:$G=Q10,$AI:$AI),3),0))</f>
        <v>0</v>
      </c>
      <c r="U10" s="64">
        <f t="shared" si="6"/>
        <v>0</v>
      </c>
      <c r="V10">
        <v>4</v>
      </c>
      <c r="X10" s="9" t="str">
        <f>VLOOKUP(C10,'Round 1'!$D:$G,4,FALSE)</f>
        <v/>
      </c>
      <c r="Y10" s="1" t="str">
        <f>IF(COUNTIF('Round 2'!$D:$D,C10)=1,VLOOKUP(C10,'Round 2'!$D:$G,4,FALSE),"")</f>
        <v/>
      </c>
      <c r="Z10" s="1" t="str">
        <f>IF(COUNTIF('Round 3'!$D:$D,C10)=1,VLOOKUP(C10,'Round 3'!$D:$G,4,FALSE),"")</f>
        <v/>
      </c>
      <c r="AA10" s="10" t="str">
        <f>IF(COUNTIF('Round 4'!$D:$D,C10)=1,VLOOKUP(C10,'Round 4'!$D:$G,4,FALSE),"")</f>
        <v/>
      </c>
      <c r="AC10">
        <f>G4</f>
        <v>5</v>
      </c>
      <c r="AD10" s="9" t="str">
        <f>IF(C10="","",IF(COUNTIF('Round 1'!$D:$D,C10)=1,IF(VLOOKUP(C10,'Round 1'!$D:$Q,14,FALSE)="",0,IF(AC10&gt;=1,(VLOOKUP(C10,'Round 1'!$D:$Q,14,FALSE)*10000)+VLOOKUP(C10,'Round 1'!$D:$K,8,FALSE),0)),0))</f>
        <v/>
      </c>
      <c r="AE10" s="1" t="str">
        <f>IF(C10="","",IF(COUNTIF('Round 2'!$D:$D,C10)=1,IF(VLOOKUP(C10,'Round 2'!$D:$Q,14,FALSE)="",0,IF(AC10&gt;=2,(VLOOKUP(C10,'Round 2'!$D:$Q,14,FALSE)*10000)+VLOOKUP(C10,'Round 2'!$D:$K,8,FALSE),0)),0))</f>
        <v/>
      </c>
      <c r="AF10" s="1" t="str">
        <f>IF(C10="","",IF(COUNTIF('Round 3'!$D:$D,C10)=1,IF(VLOOKUP(C10,'Round 3'!$D:$Q,14,FALSE)="",0,IF(AC10&gt;=3,(VLOOKUP(C10,'Round 3'!$D:$Q,14,FALSE)*10000)+VLOOKUP(C10,'Round 3'!$D:$K,8,FALSE),0)),0))</f>
        <v/>
      </c>
      <c r="AG10" s="1" t="str">
        <f>IF(C10="","",IF(COUNTIF('Round 4'!$D:$D,C10)=1,IF(VLOOKUP(C10,'Round 4'!$D:$Q,14,FALSE)="",0,IF(AC10&gt;=4,(VLOOKUP(C10,'Round 4'!$D:$Q,14,FALSE)*10000)+VLOOKUP(C10,'Round 4'!$D:$K,8,FALSE),0)),0))</f>
        <v/>
      </c>
      <c r="AH10" s="30" t="str">
        <f>IF(C10="","",IF(COUNTIF('Round 5'!$D:$D,C10)=1,IF(VLOOKUP(C10,'Round 5'!$D:$Q,14,FALSE)="",0,IF(AC10&gt;=5,(VLOOKUP(C10,'Round 5'!$D:$Q,14,FALSE)*10000)+VLOOKUP(C10,'Round 5'!$D:$K,8,FALSE),0)),0))</f>
        <v/>
      </c>
      <c r="AI10" s="58" t="str">
        <f t="shared" si="1"/>
        <v/>
      </c>
      <c r="AJ10" s="59" t="str">
        <f t="shared" si="2"/>
        <v/>
      </c>
    </row>
    <row r="11" spans="1:36" ht="15" thickBot="1" x14ac:dyDescent="0.35">
      <c r="B11" s="54" t="str">
        <f t="shared" si="3"/>
        <v/>
      </c>
      <c r="C11" s="9" t="str">
        <f t="shared" si="0"/>
        <v/>
      </c>
      <c r="D11" s="70"/>
      <c r="E11" s="71"/>
      <c r="F11" s="70"/>
      <c r="G11" s="72"/>
      <c r="H11" s="73"/>
      <c r="I11" s="64">
        <f t="array" ref="I11">IF(H11&lt;&gt;"UCM",0,IF(AI11=LARGE(IF($H:$H="UCM",$AI:$AI,""),1),1,0))</f>
        <v>0</v>
      </c>
      <c r="J11" s="64">
        <f t="array" ref="J11">IF(H11&lt;&gt;"Scourge",0,IF(AI11=LARGE(IF($H:$H="Scourge",$AI:$AI,""),1),1,0))</f>
        <v>0</v>
      </c>
      <c r="K11" s="64">
        <f t="array" ref="K11">IF(H11&lt;&gt;"PHR",0,IF(AI11=LARGE(IF($H:$H="PHR",$AI:$AI,""),1),1,0))</f>
        <v>0</v>
      </c>
      <c r="L11" s="64">
        <f t="array" ref="L11">IF(H11&lt;&gt;"Shaltari",0,IF(AI11=LARGE(IF($H:$H="Shaltari",$AI:$AI,""),1),1,0))</f>
        <v>0</v>
      </c>
      <c r="M11" s="64">
        <f t="array" ref="M11">IF(H11&lt;&gt;"Resistance",0,IF(AI11=LARGE(IF($H:$H="Resistance",$AI:$AI,""),1),1,0))</f>
        <v>0</v>
      </c>
      <c r="N11" s="64">
        <f t="shared" si="4"/>
        <v>0</v>
      </c>
      <c r="O11" s="35"/>
      <c r="P11" s="64" t="str">
        <f t="shared" si="5"/>
        <v/>
      </c>
      <c r="Q11" s="79"/>
      <c r="R11" s="64">
        <f t="array" ref="R11">IF(Q11="",0,IF(COUNTIF(G:G,Q11)&gt;=1,LARGE(IF($G:$G=Q11,$AI:$AI),1),0))</f>
        <v>0</v>
      </c>
      <c r="S11" s="64">
        <f t="array" ref="S11">IF(Q11="",0,IF(COUNTIF(G:G,Q11)&gt;=2,LARGE(IF($G:$G=Q11,$AI:$AI),2),0))</f>
        <v>0</v>
      </c>
      <c r="T11" s="64">
        <f t="array" ref="T11">IF(Q11="",0,IF(COUNTIF(G:G,Q11)&gt;=3,LARGE(IF($G:$G=Q11,$AI:$AI),3),0))</f>
        <v>0</v>
      </c>
      <c r="U11" s="64">
        <f t="shared" si="6"/>
        <v>0</v>
      </c>
      <c r="V11">
        <v>5</v>
      </c>
      <c r="X11" s="9" t="str">
        <f>VLOOKUP(C11,'Round 1'!$D:$G,4,FALSE)</f>
        <v/>
      </c>
      <c r="Y11" s="1" t="str">
        <f>IF(COUNTIF('Round 2'!$D:$D,C11)=1,VLOOKUP(C11,'Round 2'!$D:$G,4,FALSE),"")</f>
        <v/>
      </c>
      <c r="Z11" s="1" t="str">
        <f>IF(COUNTIF('Round 3'!$D:$D,C11)=1,VLOOKUP(C11,'Round 3'!$D:$G,4,FALSE),"")</f>
        <v/>
      </c>
      <c r="AA11" s="10" t="str">
        <f>IF(COUNTIF('Round 4'!$D:$D,C11)=1,VLOOKUP(C11,'Round 4'!$D:$G,4,FALSE),"")</f>
        <v/>
      </c>
      <c r="AC11">
        <f>G4</f>
        <v>5</v>
      </c>
      <c r="AD11" s="9" t="str">
        <f>IF(C11="","",IF(COUNTIF('Round 1'!$D:$D,C11)=1,IF(VLOOKUP(C11,'Round 1'!$D:$Q,14,FALSE)="",0,IF(AC11&gt;=1,(VLOOKUP(C11,'Round 1'!$D:$Q,14,FALSE)*10000)+VLOOKUP(C11,'Round 1'!$D:$K,8,FALSE),0)),0))</f>
        <v/>
      </c>
      <c r="AE11" s="1" t="str">
        <f>IF(C11="","",IF(COUNTIF('Round 2'!$D:$D,C11)=1,IF(VLOOKUP(C11,'Round 2'!$D:$Q,14,FALSE)="",0,IF(AC11&gt;=2,(VLOOKUP(C11,'Round 2'!$D:$Q,14,FALSE)*10000)+VLOOKUP(C11,'Round 2'!$D:$K,8,FALSE),0)),0))</f>
        <v/>
      </c>
      <c r="AF11" s="1" t="str">
        <f>IF(C11="","",IF(COUNTIF('Round 3'!$D:$D,C11)=1,IF(VLOOKUP(C11,'Round 3'!$D:$Q,14,FALSE)="",0,IF(AC11&gt;=3,(VLOOKUP(C11,'Round 3'!$D:$Q,14,FALSE)*10000)+VLOOKUP(C11,'Round 3'!$D:$K,8,FALSE),0)),0))</f>
        <v/>
      </c>
      <c r="AG11" s="1" t="str">
        <f>IF(C11="","",IF(COUNTIF('Round 4'!$D:$D,C11)=1,IF(VLOOKUP(C11,'Round 4'!$D:$Q,14,FALSE)="",0,IF(AC11&gt;=4,(VLOOKUP(C11,'Round 4'!$D:$Q,14,FALSE)*10000)+VLOOKUP(C11,'Round 4'!$D:$K,8,FALSE),0)),0))</f>
        <v/>
      </c>
      <c r="AH11" s="30" t="str">
        <f>IF(C11="","",IF(COUNTIF('Round 5'!$D:$D,C11)=1,IF(VLOOKUP(C11,'Round 5'!$D:$Q,14,FALSE)="",0,IF(AC11&gt;=5,(VLOOKUP(C11,'Round 5'!$D:$Q,14,FALSE)*10000)+VLOOKUP(C11,'Round 5'!$D:$K,8,FALSE),0)),0))</f>
        <v/>
      </c>
      <c r="AI11" s="58" t="str">
        <f t="shared" si="1"/>
        <v/>
      </c>
      <c r="AJ11" s="59" t="str">
        <f t="shared" si="2"/>
        <v/>
      </c>
    </row>
    <row r="12" spans="1:36" ht="15" thickBot="1" x14ac:dyDescent="0.35">
      <c r="B12" s="54" t="str">
        <f t="shared" si="3"/>
        <v/>
      </c>
      <c r="C12" s="9" t="str">
        <f t="shared" si="0"/>
        <v/>
      </c>
      <c r="D12" s="70"/>
      <c r="E12" s="71"/>
      <c r="F12" s="70"/>
      <c r="G12" s="72"/>
      <c r="H12" s="73"/>
      <c r="I12" s="64">
        <f t="array" ref="I12">IF(H12&lt;&gt;"UCM",0,IF(AI12=LARGE(IF($H:$H="UCM",$AI:$AI,""),1),1,0))</f>
        <v>0</v>
      </c>
      <c r="J12" s="64">
        <f t="array" ref="J12">IF(H12&lt;&gt;"Scourge",0,IF(AI12=LARGE(IF($H:$H="Scourge",$AI:$AI,""),1),1,0))</f>
        <v>0</v>
      </c>
      <c r="K12" s="64">
        <f t="array" ref="K12">IF(H12&lt;&gt;"PHR",0,IF(AI12=LARGE(IF($H:$H="PHR",$AI:$AI,""),1),1,0))</f>
        <v>0</v>
      </c>
      <c r="L12" s="64">
        <f t="array" ref="L12">IF(H12&lt;&gt;"Shaltari",0,IF(AI12=LARGE(IF($H:$H="Shaltari",$AI:$AI,""),1),1,0))</f>
        <v>0</v>
      </c>
      <c r="M12" s="64">
        <f t="array" ref="M12">IF(H12&lt;&gt;"Resistance",0,IF(AI12=LARGE(IF($H:$H="Resistance",$AI:$AI,""),1),1,0))</f>
        <v>0</v>
      </c>
      <c r="N12" s="64">
        <f t="shared" si="4"/>
        <v>0</v>
      </c>
      <c r="O12" s="35"/>
      <c r="P12" s="64" t="str">
        <f t="shared" si="5"/>
        <v/>
      </c>
      <c r="Q12" s="79"/>
      <c r="R12" s="64">
        <f t="array" ref="R12">IF(Q12="",0,IF(COUNTIF(G:G,Q12)&gt;=1,LARGE(IF($G:$G=Q12,$AI:$AI),1),0))</f>
        <v>0</v>
      </c>
      <c r="S12" s="64">
        <f t="array" ref="S12">IF(Q12="",0,IF(COUNTIF(G:G,Q12)&gt;=2,LARGE(IF($G:$G=Q12,$AI:$AI),2),0))</f>
        <v>0</v>
      </c>
      <c r="T12" s="64">
        <f t="array" ref="T12">IF(Q12="",0,IF(COUNTIF(G:G,Q12)&gt;=3,LARGE(IF($G:$G=Q12,$AI:$AI),3),0))</f>
        <v>0</v>
      </c>
      <c r="U12" s="64">
        <f t="shared" si="6"/>
        <v>0</v>
      </c>
      <c r="V12">
        <v>6</v>
      </c>
      <c r="X12" s="9" t="str">
        <f>VLOOKUP(C12,'Round 1'!$D:$G,4,FALSE)</f>
        <v/>
      </c>
      <c r="Y12" s="1" t="str">
        <f>IF(COUNTIF('Round 2'!$D:$D,C12)=1,VLOOKUP(C12,'Round 2'!$D:$G,4,FALSE),"")</f>
        <v/>
      </c>
      <c r="Z12" s="1" t="str">
        <f>IF(COUNTIF('Round 3'!$D:$D,C12)=1,VLOOKUP(C12,'Round 3'!$D:$G,4,FALSE),"")</f>
        <v/>
      </c>
      <c r="AA12" s="10" t="str">
        <f>IF(COUNTIF('Round 4'!$D:$D,C12)=1,VLOOKUP(C12,'Round 4'!$D:$G,4,FALSE),"")</f>
        <v/>
      </c>
      <c r="AC12">
        <f>G4</f>
        <v>5</v>
      </c>
      <c r="AD12" s="9" t="str">
        <f>IF(C12="","",IF(COUNTIF('Round 1'!$D:$D,C12)=1,IF(VLOOKUP(C12,'Round 1'!$D:$Q,14,FALSE)="",0,IF(AC12&gt;=1,(VLOOKUP(C12,'Round 1'!$D:$Q,14,FALSE)*10000)+VLOOKUP(C12,'Round 1'!$D:$K,8,FALSE),0)),0))</f>
        <v/>
      </c>
      <c r="AE12" s="1" t="str">
        <f>IF(C12="","",IF(COUNTIF('Round 2'!$D:$D,C12)=1,IF(VLOOKUP(C12,'Round 2'!$D:$Q,14,FALSE)="",0,IF(AC12&gt;=2,(VLOOKUP(C12,'Round 2'!$D:$Q,14,FALSE)*10000)+VLOOKUP(C12,'Round 2'!$D:$K,8,FALSE),0)),0))</f>
        <v/>
      </c>
      <c r="AF12" s="1" t="str">
        <f>IF(C12="","",IF(COUNTIF('Round 3'!$D:$D,C12)=1,IF(VLOOKUP(C12,'Round 3'!$D:$Q,14,FALSE)="",0,IF(AC12&gt;=3,(VLOOKUP(C12,'Round 3'!$D:$Q,14,FALSE)*10000)+VLOOKUP(C12,'Round 3'!$D:$K,8,FALSE),0)),0))</f>
        <v/>
      </c>
      <c r="AG12" s="1" t="str">
        <f>IF(C12="","",IF(COUNTIF('Round 4'!$D:$D,C12)=1,IF(VLOOKUP(C12,'Round 4'!$D:$Q,14,FALSE)="",0,IF(AC12&gt;=4,(VLOOKUP(C12,'Round 4'!$D:$Q,14,FALSE)*10000)+VLOOKUP(C12,'Round 4'!$D:$K,8,FALSE),0)),0))</f>
        <v/>
      </c>
      <c r="AH12" s="30" t="str">
        <f>IF(C12="","",IF(COUNTIF('Round 5'!$D:$D,C12)=1,IF(VLOOKUP(C12,'Round 5'!$D:$Q,14,FALSE)="",0,IF(AC12&gt;=5,(VLOOKUP(C12,'Round 5'!$D:$Q,14,FALSE)*10000)+VLOOKUP(C12,'Round 5'!$D:$K,8,FALSE),0)),0))</f>
        <v/>
      </c>
      <c r="AI12" s="58" t="str">
        <f t="shared" si="1"/>
        <v/>
      </c>
      <c r="AJ12" s="59" t="str">
        <f t="shared" si="2"/>
        <v/>
      </c>
    </row>
    <row r="13" spans="1:36" ht="15" thickBot="1" x14ac:dyDescent="0.35">
      <c r="B13" s="54" t="str">
        <f t="shared" si="3"/>
        <v/>
      </c>
      <c r="C13" s="9" t="str">
        <f t="shared" si="0"/>
        <v/>
      </c>
      <c r="D13" s="70"/>
      <c r="E13" s="71"/>
      <c r="F13" s="70"/>
      <c r="G13" s="72"/>
      <c r="H13" s="73"/>
      <c r="I13" s="64">
        <f t="array" ref="I13">IF(H13&lt;&gt;"UCM",0,IF(AI13=LARGE(IF($H:$H="UCM",$AI:$AI,""),1),1,0))</f>
        <v>0</v>
      </c>
      <c r="J13" s="64">
        <f t="array" ref="J13">IF(H13&lt;&gt;"Scourge",0,IF(AI13=LARGE(IF($H:$H="Scourge",$AI:$AI,""),1),1,0))</f>
        <v>0</v>
      </c>
      <c r="K13" s="64">
        <f t="array" ref="K13">IF(H13&lt;&gt;"PHR",0,IF(AI13=LARGE(IF($H:$H="PHR",$AI:$AI,""),1),1,0))</f>
        <v>0</v>
      </c>
      <c r="L13" s="64">
        <f t="array" ref="L13">IF(H13&lt;&gt;"Shaltari",0,IF(AI13=LARGE(IF($H:$H="Shaltari",$AI:$AI,""),1),1,0))</f>
        <v>0</v>
      </c>
      <c r="M13" s="64">
        <f t="array" ref="M13">IF(H13&lt;&gt;"Resistance",0,IF(AI13=LARGE(IF($H:$H="Resistance",$AI:$AI,""),1),1,0))</f>
        <v>0</v>
      </c>
      <c r="N13" s="64">
        <f t="shared" si="4"/>
        <v>0</v>
      </c>
      <c r="O13" s="35"/>
      <c r="P13" s="64" t="str">
        <f t="shared" si="5"/>
        <v/>
      </c>
      <c r="Q13" s="79"/>
      <c r="R13" s="64">
        <f t="array" ref="R13">IF(Q13="",0,IF(COUNTIF(G:G,Q13)&gt;=1,LARGE(IF($G:$G=Q13,$AI:$AI),1),0))</f>
        <v>0</v>
      </c>
      <c r="S13" s="64">
        <f t="array" ref="S13">IF(Q13="",0,IF(COUNTIF(G:G,Q13)&gt;=2,LARGE(IF($G:$G=Q13,$AI:$AI),2),0))</f>
        <v>0</v>
      </c>
      <c r="T13" s="64">
        <f t="array" ref="T13">IF(Q13="",0,IF(COUNTIF(G:G,Q13)&gt;=3,LARGE(IF($G:$G=Q13,$AI:$AI),3),0))</f>
        <v>0</v>
      </c>
      <c r="U13" s="64">
        <f t="shared" si="6"/>
        <v>0</v>
      </c>
      <c r="V13">
        <v>7</v>
      </c>
      <c r="X13" s="9" t="str">
        <f>VLOOKUP(C13,'Round 1'!$D:$G,4,FALSE)</f>
        <v/>
      </c>
      <c r="Y13" s="1" t="str">
        <f>IF(COUNTIF('Round 2'!$D:$D,C13)=1,VLOOKUP(C13,'Round 2'!$D:$G,4,FALSE),"")</f>
        <v/>
      </c>
      <c r="Z13" s="1" t="str">
        <f>IF(COUNTIF('Round 3'!$D:$D,C13)=1,VLOOKUP(C13,'Round 3'!$D:$G,4,FALSE),"")</f>
        <v/>
      </c>
      <c r="AA13" s="10" t="str">
        <f>IF(COUNTIF('Round 4'!$D:$D,C13)=1,VLOOKUP(C13,'Round 4'!$D:$G,4,FALSE),"")</f>
        <v/>
      </c>
      <c r="AC13">
        <f>G4</f>
        <v>5</v>
      </c>
      <c r="AD13" s="9" t="str">
        <f>IF(C13="","",IF(COUNTIF('Round 1'!$D:$D,C13)=1,IF(VLOOKUP(C13,'Round 1'!$D:$Q,14,FALSE)="",0,IF(AC13&gt;=1,(VLOOKUP(C13,'Round 1'!$D:$Q,14,FALSE)*10000)+VLOOKUP(C13,'Round 1'!$D:$K,8,FALSE),0)),0))</f>
        <v/>
      </c>
      <c r="AE13" s="1" t="str">
        <f>IF(C13="","",IF(COUNTIF('Round 2'!$D:$D,C13)=1,IF(VLOOKUP(C13,'Round 2'!$D:$Q,14,FALSE)="",0,IF(AC13&gt;=2,(VLOOKUP(C13,'Round 2'!$D:$Q,14,FALSE)*10000)+VLOOKUP(C13,'Round 2'!$D:$K,8,FALSE),0)),0))</f>
        <v/>
      </c>
      <c r="AF13" s="1" t="str">
        <f>IF(C13="","",IF(COUNTIF('Round 3'!$D:$D,C13)=1,IF(VLOOKUP(C13,'Round 3'!$D:$Q,14,FALSE)="",0,IF(AC13&gt;=3,(VLOOKUP(C13,'Round 3'!$D:$Q,14,FALSE)*10000)+VLOOKUP(C13,'Round 3'!$D:$K,8,FALSE),0)),0))</f>
        <v/>
      </c>
      <c r="AG13" s="1" t="str">
        <f>IF(C13="","",IF(COUNTIF('Round 4'!$D:$D,C13)=1,IF(VLOOKUP(C13,'Round 4'!$D:$Q,14,FALSE)="",0,IF(AC13&gt;=4,(VLOOKUP(C13,'Round 4'!$D:$Q,14,FALSE)*10000)+VLOOKUP(C13,'Round 4'!$D:$K,8,FALSE),0)),0))</f>
        <v/>
      </c>
      <c r="AH13" s="30" t="str">
        <f>IF(C13="","",IF(COUNTIF('Round 5'!$D:$D,C13)=1,IF(VLOOKUP(C13,'Round 5'!$D:$Q,14,FALSE)="",0,IF(AC13&gt;=5,(VLOOKUP(C13,'Round 5'!$D:$Q,14,FALSE)*10000)+VLOOKUP(C13,'Round 5'!$D:$K,8,FALSE),0)),0))</f>
        <v/>
      </c>
      <c r="AI13" s="58" t="str">
        <f t="shared" si="1"/>
        <v/>
      </c>
      <c r="AJ13" s="59" t="str">
        <f t="shared" si="2"/>
        <v/>
      </c>
    </row>
    <row r="14" spans="1:36" ht="15" thickBot="1" x14ac:dyDescent="0.35">
      <c r="B14" s="54" t="str">
        <f t="shared" si="3"/>
        <v/>
      </c>
      <c r="C14" s="9" t="str">
        <f t="shared" si="0"/>
        <v/>
      </c>
      <c r="D14" s="70"/>
      <c r="E14" s="71"/>
      <c r="F14" s="70"/>
      <c r="G14" s="72"/>
      <c r="H14" s="73"/>
      <c r="I14" s="64">
        <f t="array" ref="I14">IF(H14&lt;&gt;"UCM",0,IF(AI14=LARGE(IF($H:$H="UCM",$AI:$AI,""),1),1,0))</f>
        <v>0</v>
      </c>
      <c r="J14" s="64">
        <f t="array" ref="J14">IF(H14&lt;&gt;"Scourge",0,IF(AI14=LARGE(IF($H:$H="Scourge",$AI:$AI,""),1),1,0))</f>
        <v>0</v>
      </c>
      <c r="K14" s="64">
        <f t="array" ref="K14">IF(H14&lt;&gt;"PHR",0,IF(AI14=LARGE(IF($H:$H="PHR",$AI:$AI,""),1),1,0))</f>
        <v>0</v>
      </c>
      <c r="L14" s="64">
        <f t="array" ref="L14">IF(H14&lt;&gt;"Shaltari",0,IF(AI14=LARGE(IF($H:$H="Shaltari",$AI:$AI,""),1),1,0))</f>
        <v>0</v>
      </c>
      <c r="M14" s="64">
        <f t="array" ref="M14">IF(H14&lt;&gt;"Resistance",0,IF(AI14=LARGE(IF($H:$H="Resistance",$AI:$AI,""),1),1,0))</f>
        <v>0</v>
      </c>
      <c r="N14" s="64">
        <f t="shared" si="4"/>
        <v>0</v>
      </c>
      <c r="O14" s="35"/>
      <c r="P14" s="64" t="str">
        <f t="shared" si="5"/>
        <v/>
      </c>
      <c r="Q14" s="79"/>
      <c r="R14" s="64">
        <f t="array" ref="R14">IF(Q14="",0,IF(COUNTIF(G:G,Q14)&gt;=1,LARGE(IF($G:$G=Q14,$AI:$AI),1),0))</f>
        <v>0</v>
      </c>
      <c r="S14" s="64">
        <f t="array" ref="S14">IF(Q14="",0,IF(COUNTIF(G:G,Q14)&gt;=2,LARGE(IF($G:$G=Q14,$AI:$AI),2),0))</f>
        <v>0</v>
      </c>
      <c r="T14" s="64">
        <f t="array" ref="T14">IF(Q14="",0,IF(COUNTIF(G:G,Q14)&gt;=3,LARGE(IF($G:$G=Q14,$AI:$AI),3),0))</f>
        <v>0</v>
      </c>
      <c r="U14" s="64">
        <f t="shared" si="6"/>
        <v>0</v>
      </c>
      <c r="V14">
        <v>8</v>
      </c>
      <c r="X14" s="9" t="str">
        <f>VLOOKUP(C14,'Round 1'!$D:$G,4,FALSE)</f>
        <v/>
      </c>
      <c r="Y14" s="1" t="str">
        <f>IF(COUNTIF('Round 2'!$D:$D,C14)=1,VLOOKUP(C14,'Round 2'!$D:$G,4,FALSE),"")</f>
        <v/>
      </c>
      <c r="Z14" s="1" t="str">
        <f>IF(COUNTIF('Round 3'!$D:$D,C14)=1,VLOOKUP(C14,'Round 3'!$D:$G,4,FALSE),"")</f>
        <v/>
      </c>
      <c r="AA14" s="10" t="str">
        <f>IF(COUNTIF('Round 4'!$D:$D,C14)=1,VLOOKUP(C14,'Round 4'!$D:$G,4,FALSE),"")</f>
        <v/>
      </c>
      <c r="AC14">
        <f>G4</f>
        <v>5</v>
      </c>
      <c r="AD14" s="9" t="str">
        <f>IF(C14="","",IF(COUNTIF('Round 1'!$D:$D,C14)=1,IF(VLOOKUP(C14,'Round 1'!$D:$Q,14,FALSE)="",0,IF(AC14&gt;=1,(VLOOKUP(C14,'Round 1'!$D:$Q,14,FALSE)*10000)+VLOOKUP(C14,'Round 1'!$D:$K,8,FALSE),0)),0))</f>
        <v/>
      </c>
      <c r="AE14" s="1" t="str">
        <f>IF(C14="","",IF(COUNTIF('Round 2'!$D:$D,C14)=1,IF(VLOOKUP(C14,'Round 2'!$D:$Q,14,FALSE)="",0,IF(AC14&gt;=2,(VLOOKUP(C14,'Round 2'!$D:$Q,14,FALSE)*10000)+VLOOKUP(C14,'Round 2'!$D:$K,8,FALSE),0)),0))</f>
        <v/>
      </c>
      <c r="AF14" s="1" t="str">
        <f>IF(C14="","",IF(COUNTIF('Round 3'!$D:$D,C14)=1,IF(VLOOKUP(C14,'Round 3'!$D:$Q,14,FALSE)="",0,IF(AC14&gt;=3,(VLOOKUP(C14,'Round 3'!$D:$Q,14,FALSE)*10000)+VLOOKUP(C14,'Round 3'!$D:$K,8,FALSE),0)),0))</f>
        <v/>
      </c>
      <c r="AG14" s="1" t="str">
        <f>IF(C14="","",IF(COUNTIF('Round 4'!$D:$D,C14)=1,IF(VLOOKUP(C14,'Round 4'!$D:$Q,14,FALSE)="",0,IF(AC14&gt;=4,(VLOOKUP(C14,'Round 4'!$D:$Q,14,FALSE)*10000)+VLOOKUP(C14,'Round 4'!$D:$K,8,FALSE),0)),0))</f>
        <v/>
      </c>
      <c r="AH14" s="30" t="str">
        <f>IF(C14="","",IF(COUNTIF('Round 5'!$D:$D,C14)=1,IF(VLOOKUP(C14,'Round 5'!$D:$Q,14,FALSE)="",0,IF(AC14&gt;=5,(VLOOKUP(C14,'Round 5'!$D:$Q,14,FALSE)*10000)+VLOOKUP(C14,'Round 5'!$D:$K,8,FALSE),0)),0))</f>
        <v/>
      </c>
      <c r="AI14" s="58" t="str">
        <f t="shared" si="1"/>
        <v/>
      </c>
      <c r="AJ14" s="59" t="str">
        <f t="shared" si="2"/>
        <v/>
      </c>
    </row>
    <row r="15" spans="1:36" ht="15" thickBot="1" x14ac:dyDescent="0.35">
      <c r="B15" s="54" t="str">
        <f t="shared" si="3"/>
        <v/>
      </c>
      <c r="C15" s="9" t="str">
        <f t="shared" si="0"/>
        <v/>
      </c>
      <c r="D15" s="70"/>
      <c r="E15" s="71"/>
      <c r="F15" s="70"/>
      <c r="G15" s="72"/>
      <c r="H15" s="73"/>
      <c r="I15" s="64">
        <f t="array" ref="I15">IF(H15&lt;&gt;"UCM",0,IF(AI15=LARGE(IF($H:$H="UCM",$AI:$AI,""),1),1,0))</f>
        <v>0</v>
      </c>
      <c r="J15" s="64">
        <f t="array" ref="J15">IF(H15&lt;&gt;"Scourge",0,IF(AI15=LARGE(IF($H:$H="Scourge",$AI:$AI,""),1),1,0))</f>
        <v>0</v>
      </c>
      <c r="K15" s="64">
        <f t="array" ref="K15">IF(H15&lt;&gt;"PHR",0,IF(AI15=LARGE(IF($H:$H="PHR",$AI:$AI,""),1),1,0))</f>
        <v>0</v>
      </c>
      <c r="L15" s="64">
        <f t="array" ref="L15">IF(H15&lt;&gt;"Shaltari",0,IF(AI15=LARGE(IF($H:$H="Shaltari",$AI:$AI,""),1),1,0))</f>
        <v>0</v>
      </c>
      <c r="M15" s="64">
        <f t="array" ref="M15">IF(H15&lt;&gt;"Resistance",0,IF(AI15=LARGE(IF($H:$H="Resistance",$AI:$AI,""),1),1,0))</f>
        <v>0</v>
      </c>
      <c r="N15" s="64">
        <f t="shared" si="4"/>
        <v>0</v>
      </c>
      <c r="O15" s="35"/>
      <c r="P15" s="64" t="str">
        <f t="shared" si="5"/>
        <v/>
      </c>
      <c r="Q15" s="79"/>
      <c r="R15" s="64">
        <f t="array" ref="R15">IF(Q15="",0,IF(COUNTIF(G:G,Q15)&gt;=1,LARGE(IF($G:$G=Q15,$AI:$AI),1),0))</f>
        <v>0</v>
      </c>
      <c r="S15" s="64">
        <f t="array" ref="S15">IF(Q15="",0,IF(COUNTIF(G:G,Q15)&gt;=2,LARGE(IF($G:$G=Q15,$AI:$AI),2),0))</f>
        <v>0</v>
      </c>
      <c r="T15" s="64">
        <f t="array" ref="T15">IF(Q15="",0,IF(COUNTIF(G:G,Q15)&gt;=3,LARGE(IF($G:$G=Q15,$AI:$AI),3),0))</f>
        <v>0</v>
      </c>
      <c r="U15" s="64">
        <f t="shared" si="6"/>
        <v>0</v>
      </c>
      <c r="V15">
        <v>9</v>
      </c>
      <c r="X15" s="9" t="str">
        <f>VLOOKUP(C15,'Round 1'!$D:$G,4,FALSE)</f>
        <v/>
      </c>
      <c r="Y15" s="1" t="str">
        <f>IF(COUNTIF('Round 2'!$D:$D,C15)=1,VLOOKUP(C15,'Round 2'!$D:$G,4,FALSE),"")</f>
        <v/>
      </c>
      <c r="Z15" s="1" t="str">
        <f>IF(COUNTIF('Round 3'!$D:$D,C15)=1,VLOOKUP(C15,'Round 3'!$D:$G,4,FALSE),"")</f>
        <v/>
      </c>
      <c r="AA15" s="10" t="str">
        <f>IF(COUNTIF('Round 4'!$D:$D,C15)=1,VLOOKUP(C15,'Round 4'!$D:$G,4,FALSE),"")</f>
        <v/>
      </c>
      <c r="AC15">
        <f>G4</f>
        <v>5</v>
      </c>
      <c r="AD15" s="9" t="str">
        <f>IF(C15="","",IF(COUNTIF('Round 1'!$D:$D,C15)=1,IF(VLOOKUP(C15,'Round 1'!$D:$Q,14,FALSE)="",0,IF(AC15&gt;=1,(VLOOKUP(C15,'Round 1'!$D:$Q,14,FALSE)*10000)+VLOOKUP(C15,'Round 1'!$D:$K,8,FALSE),0)),0))</f>
        <v/>
      </c>
      <c r="AE15" s="1" t="str">
        <f>IF(C15="","",IF(COUNTIF('Round 2'!$D:$D,C15)=1,IF(VLOOKUP(C15,'Round 2'!$D:$Q,14,FALSE)="",0,IF(AC15&gt;=2,(VLOOKUP(C15,'Round 2'!$D:$Q,14,FALSE)*10000)+VLOOKUP(C15,'Round 2'!$D:$K,8,FALSE),0)),0))</f>
        <v/>
      </c>
      <c r="AF15" s="1" t="str">
        <f>IF(C15="","",IF(COUNTIF('Round 3'!$D:$D,C15)=1,IF(VLOOKUP(C15,'Round 3'!$D:$Q,14,FALSE)="",0,IF(AC15&gt;=3,(VLOOKUP(C15,'Round 3'!$D:$Q,14,FALSE)*10000)+VLOOKUP(C15,'Round 3'!$D:$K,8,FALSE),0)),0))</f>
        <v/>
      </c>
      <c r="AG15" s="1" t="str">
        <f>IF(C15="","",IF(COUNTIF('Round 4'!$D:$D,C15)=1,IF(VLOOKUP(C15,'Round 4'!$D:$Q,14,FALSE)="",0,IF(AC15&gt;=4,(VLOOKUP(C15,'Round 4'!$D:$Q,14,FALSE)*10000)+VLOOKUP(C15,'Round 4'!$D:$K,8,FALSE),0)),0))</f>
        <v/>
      </c>
      <c r="AH15" s="30" t="str">
        <f>IF(C15="","",IF(COUNTIF('Round 5'!$D:$D,C15)=1,IF(VLOOKUP(C15,'Round 5'!$D:$Q,14,FALSE)="",0,IF(AC15&gt;=5,(VLOOKUP(C15,'Round 5'!$D:$Q,14,FALSE)*10000)+VLOOKUP(C15,'Round 5'!$D:$K,8,FALSE),0)),0))</f>
        <v/>
      </c>
      <c r="AI15" s="58" t="str">
        <f t="shared" si="1"/>
        <v/>
      </c>
      <c r="AJ15" s="59" t="str">
        <f t="shared" si="2"/>
        <v/>
      </c>
    </row>
    <row r="16" spans="1:36" ht="15" thickBot="1" x14ac:dyDescent="0.35">
      <c r="B16" s="54" t="str">
        <f t="shared" si="3"/>
        <v/>
      </c>
      <c r="C16" s="9" t="str">
        <f t="shared" si="0"/>
        <v/>
      </c>
      <c r="D16" s="70"/>
      <c r="E16" s="71"/>
      <c r="F16" s="70"/>
      <c r="G16" s="72"/>
      <c r="H16" s="73"/>
      <c r="I16" s="64">
        <f t="array" ref="I16">IF(H16&lt;&gt;"UCM",0,IF(AI16=LARGE(IF($H:$H="UCM",$AI:$AI,""),1),1,0))</f>
        <v>0</v>
      </c>
      <c r="J16" s="64">
        <f t="array" ref="J16">IF(H16&lt;&gt;"Scourge",0,IF(AI16=LARGE(IF($H:$H="Scourge",$AI:$AI,""),1),1,0))</f>
        <v>0</v>
      </c>
      <c r="K16" s="64">
        <f t="array" ref="K16">IF(H16&lt;&gt;"PHR",0,IF(AI16=LARGE(IF($H:$H="PHR",$AI:$AI,""),1),1,0))</f>
        <v>0</v>
      </c>
      <c r="L16" s="64">
        <f t="array" ref="L16">IF(H16&lt;&gt;"Shaltari",0,IF(AI16=LARGE(IF($H:$H="Shaltari",$AI:$AI,""),1),1,0))</f>
        <v>0</v>
      </c>
      <c r="M16" s="64">
        <f t="array" ref="M16">IF(H16&lt;&gt;"Resistance",0,IF(AI16=LARGE(IF($H:$H="Resistance",$AI:$AI,""),1),1,0))</f>
        <v>0</v>
      </c>
      <c r="N16" s="64">
        <f t="shared" si="4"/>
        <v>0</v>
      </c>
      <c r="O16" s="35"/>
      <c r="P16" s="64" t="str">
        <f t="shared" si="5"/>
        <v/>
      </c>
      <c r="Q16" s="79"/>
      <c r="R16" s="64">
        <f t="array" ref="R16">IF(Q16="",0,IF(COUNTIF(G:G,Q16)&gt;=1,LARGE(IF($G:$G=Q16,$AI:$AI),1),0))</f>
        <v>0</v>
      </c>
      <c r="S16" s="64">
        <f t="array" ref="S16">IF(Q16="",0,IF(COUNTIF(G:G,Q16)&gt;=2,LARGE(IF($G:$G=Q16,$AI:$AI),2),0))</f>
        <v>0</v>
      </c>
      <c r="T16" s="64">
        <f t="array" ref="T16">IF(Q16="",0,IF(COUNTIF(G:G,Q16)&gt;=3,LARGE(IF($G:$G=Q16,$AI:$AI),3),0))</f>
        <v>0</v>
      </c>
      <c r="U16" s="64">
        <f t="shared" si="6"/>
        <v>0</v>
      </c>
      <c r="V16">
        <v>10</v>
      </c>
      <c r="X16" s="9" t="str">
        <f>VLOOKUP(C16,'Round 1'!$D:$G,4,FALSE)</f>
        <v/>
      </c>
      <c r="Y16" s="1" t="str">
        <f>IF(COUNTIF('Round 2'!$D:$D,C16)=1,VLOOKUP(C16,'Round 2'!$D:$G,4,FALSE),"")</f>
        <v/>
      </c>
      <c r="Z16" s="1" t="str">
        <f>IF(COUNTIF('Round 3'!$D:$D,C16)=1,VLOOKUP(C16,'Round 3'!$D:$G,4,FALSE),"")</f>
        <v/>
      </c>
      <c r="AA16" s="10" t="str">
        <f>IF(COUNTIF('Round 4'!$D:$D,C16)=1,VLOOKUP(C16,'Round 4'!$D:$G,4,FALSE),"")</f>
        <v/>
      </c>
      <c r="AC16">
        <f>G4</f>
        <v>5</v>
      </c>
      <c r="AD16" s="9" t="str">
        <f>IF(C16="","",IF(COUNTIF('Round 1'!$D:$D,C16)=1,IF(VLOOKUP(C16,'Round 1'!$D:$Q,14,FALSE)="",0,IF(AC16&gt;=1,(VLOOKUP(C16,'Round 1'!$D:$Q,14,FALSE)*10000)+VLOOKUP(C16,'Round 1'!$D:$K,8,FALSE),0)),0))</f>
        <v/>
      </c>
      <c r="AE16" s="1" t="str">
        <f>IF(C16="","",IF(COUNTIF('Round 2'!$D:$D,C16)=1,IF(VLOOKUP(C16,'Round 2'!$D:$Q,14,FALSE)="",0,IF(AC16&gt;=2,(VLOOKUP(C16,'Round 2'!$D:$Q,14,FALSE)*10000)+VLOOKUP(C16,'Round 2'!$D:$K,8,FALSE),0)),0))</f>
        <v/>
      </c>
      <c r="AF16" s="1" t="str">
        <f>IF(C16="","",IF(COUNTIF('Round 3'!$D:$D,C16)=1,IF(VLOOKUP(C16,'Round 3'!$D:$Q,14,FALSE)="",0,IF(AC16&gt;=3,(VLOOKUP(C16,'Round 3'!$D:$Q,14,FALSE)*10000)+VLOOKUP(C16,'Round 3'!$D:$K,8,FALSE),0)),0))</f>
        <v/>
      </c>
      <c r="AG16" s="1" t="str">
        <f>IF(C16="","",IF(COUNTIF('Round 4'!$D:$D,C16)=1,IF(VLOOKUP(C16,'Round 4'!$D:$Q,14,FALSE)="",0,IF(AC16&gt;=4,(VLOOKUP(C16,'Round 4'!$D:$Q,14,FALSE)*10000)+VLOOKUP(C16,'Round 4'!$D:$K,8,FALSE),0)),0))</f>
        <v/>
      </c>
      <c r="AH16" s="30" t="str">
        <f>IF(C16="","",IF(COUNTIF('Round 5'!$D:$D,C16)=1,IF(VLOOKUP(C16,'Round 5'!$D:$Q,14,FALSE)="",0,IF(AC16&gt;=5,(VLOOKUP(C16,'Round 5'!$D:$Q,14,FALSE)*10000)+VLOOKUP(C16,'Round 5'!$D:$K,8,FALSE),0)),0))</f>
        <v/>
      </c>
      <c r="AI16" s="58" t="str">
        <f t="shared" si="1"/>
        <v/>
      </c>
      <c r="AJ16" s="59" t="str">
        <f t="shared" si="2"/>
        <v/>
      </c>
    </row>
    <row r="17" spans="2:36" ht="15" thickBot="1" x14ac:dyDescent="0.35">
      <c r="B17" s="54" t="str">
        <f t="shared" si="3"/>
        <v/>
      </c>
      <c r="C17" s="9" t="str">
        <f t="shared" si="0"/>
        <v/>
      </c>
      <c r="D17" s="70"/>
      <c r="E17" s="71"/>
      <c r="F17" s="70"/>
      <c r="G17" s="72"/>
      <c r="H17" s="73"/>
      <c r="I17" s="64">
        <f t="array" ref="I17">IF(H17&lt;&gt;"UCM",0,IF(AI17=LARGE(IF($H:$H="UCM",$AI:$AI,""),1),1,0))</f>
        <v>0</v>
      </c>
      <c r="J17" s="64">
        <f t="array" ref="J17">IF(H17&lt;&gt;"Scourge",0,IF(AI17=LARGE(IF($H:$H="Scourge",$AI:$AI,""),1),1,0))</f>
        <v>0</v>
      </c>
      <c r="K17" s="64">
        <f t="array" ref="K17">IF(H17&lt;&gt;"PHR",0,IF(AI17=LARGE(IF($H:$H="PHR",$AI:$AI,""),1),1,0))</f>
        <v>0</v>
      </c>
      <c r="L17" s="64">
        <f t="array" ref="L17">IF(H17&lt;&gt;"Shaltari",0,IF(AI17=LARGE(IF($H:$H="Shaltari",$AI:$AI,""),1),1,0))</f>
        <v>0</v>
      </c>
      <c r="M17" s="64">
        <f t="array" ref="M17">IF(H17&lt;&gt;"Resistance",0,IF(AI17=LARGE(IF($H:$H="Resistance",$AI:$AI,""),1),1,0))</f>
        <v>0</v>
      </c>
      <c r="N17" s="64">
        <f t="shared" si="4"/>
        <v>0</v>
      </c>
      <c r="O17" s="35"/>
      <c r="P17" s="64" t="str">
        <f t="shared" si="5"/>
        <v/>
      </c>
      <c r="Q17" s="79"/>
      <c r="R17" s="64">
        <f t="array" ref="R17">IF(Q17="",0,IF(COUNTIF(G:G,Q17)&gt;=1,LARGE(IF($G:$G=Q17,$AI:$AI),1),0))</f>
        <v>0</v>
      </c>
      <c r="S17" s="64">
        <f t="array" ref="S17">IF(Q17="",0,IF(COUNTIF(G:G,Q17)&gt;=2,LARGE(IF($G:$G=Q17,$AI:$AI),2),0))</f>
        <v>0</v>
      </c>
      <c r="T17" s="64">
        <f t="array" ref="T17">IF(Q17="",0,IF(COUNTIF(G:G,Q17)&gt;=3,LARGE(IF($G:$G=Q17,$AI:$AI),3),0))</f>
        <v>0</v>
      </c>
      <c r="U17" s="64">
        <f t="shared" si="6"/>
        <v>0</v>
      </c>
      <c r="V17">
        <v>11</v>
      </c>
      <c r="X17" s="9" t="str">
        <f>VLOOKUP(C17,'Round 1'!$D:$G,4,FALSE)</f>
        <v/>
      </c>
      <c r="Y17" s="1" t="str">
        <f>IF(COUNTIF('Round 2'!$D:$D,C17)=1,VLOOKUP(C17,'Round 2'!$D:$G,4,FALSE),"")</f>
        <v/>
      </c>
      <c r="Z17" s="1" t="str">
        <f>IF(COUNTIF('Round 3'!$D:$D,C17)=1,VLOOKUP(C17,'Round 3'!$D:$G,4,FALSE),"")</f>
        <v/>
      </c>
      <c r="AA17" s="10" t="str">
        <f>IF(COUNTIF('Round 4'!$D:$D,C17)=1,VLOOKUP(C17,'Round 4'!$D:$G,4,FALSE),"")</f>
        <v/>
      </c>
      <c r="AC17">
        <f>G4</f>
        <v>5</v>
      </c>
      <c r="AD17" s="9" t="str">
        <f>IF(C17="","",IF(COUNTIF('Round 1'!$D:$D,C17)=1,IF(VLOOKUP(C17,'Round 1'!$D:$Q,14,FALSE)="",0,IF(AC17&gt;=1,(VLOOKUP(C17,'Round 1'!$D:$Q,14,FALSE)*10000)+VLOOKUP(C17,'Round 1'!$D:$K,8,FALSE),0)),0))</f>
        <v/>
      </c>
      <c r="AE17" s="1" t="str">
        <f>IF(C17="","",IF(COUNTIF('Round 2'!$D:$D,C17)=1,IF(VLOOKUP(C17,'Round 2'!$D:$Q,14,FALSE)="",0,IF(AC17&gt;=2,(VLOOKUP(C17,'Round 2'!$D:$Q,14,FALSE)*10000)+VLOOKUP(C17,'Round 2'!$D:$K,8,FALSE),0)),0))</f>
        <v/>
      </c>
      <c r="AF17" s="1" t="str">
        <f>IF(C17="","",IF(COUNTIF('Round 3'!$D:$D,C17)=1,IF(VLOOKUP(C17,'Round 3'!$D:$Q,14,FALSE)="",0,IF(AC17&gt;=3,(VLOOKUP(C17,'Round 3'!$D:$Q,14,FALSE)*10000)+VLOOKUP(C17,'Round 3'!$D:$K,8,FALSE),0)),0))</f>
        <v/>
      </c>
      <c r="AG17" s="1" t="str">
        <f>IF(C17="","",IF(COUNTIF('Round 4'!$D:$D,C17)=1,IF(VLOOKUP(C17,'Round 4'!$D:$Q,14,FALSE)="",0,IF(AC17&gt;=4,(VLOOKUP(C17,'Round 4'!$D:$Q,14,FALSE)*10000)+VLOOKUP(C17,'Round 4'!$D:$K,8,FALSE),0)),0))</f>
        <v/>
      </c>
      <c r="AH17" s="30" t="str">
        <f>IF(C17="","",IF(COUNTIF('Round 5'!$D:$D,C17)=1,IF(VLOOKUP(C17,'Round 5'!$D:$Q,14,FALSE)="",0,IF(AC17&gt;=5,(VLOOKUP(C17,'Round 5'!$D:$Q,14,FALSE)*10000)+VLOOKUP(C17,'Round 5'!$D:$K,8,FALSE),0)),0))</f>
        <v/>
      </c>
      <c r="AI17" s="58" t="str">
        <f t="shared" si="1"/>
        <v/>
      </c>
      <c r="AJ17" s="59" t="str">
        <f t="shared" si="2"/>
        <v/>
      </c>
    </row>
    <row r="18" spans="2:36" ht="15" thickBot="1" x14ac:dyDescent="0.35">
      <c r="B18" s="54" t="str">
        <f t="shared" si="3"/>
        <v/>
      </c>
      <c r="C18" s="9" t="str">
        <f t="shared" si="0"/>
        <v/>
      </c>
      <c r="D18" s="70"/>
      <c r="E18" s="71"/>
      <c r="F18" s="70"/>
      <c r="G18" s="72"/>
      <c r="H18" s="73"/>
      <c r="I18" s="64">
        <f t="array" ref="I18">IF(H18&lt;&gt;"UCM",0,IF(AI18=LARGE(IF($H:$H="UCM",$AI:$AI,""),1),1,0))</f>
        <v>0</v>
      </c>
      <c r="J18" s="64">
        <f t="array" ref="J18">IF(H18&lt;&gt;"Scourge",0,IF(AI18=LARGE(IF($H:$H="Scourge",$AI:$AI,""),1),1,0))</f>
        <v>0</v>
      </c>
      <c r="K18" s="64">
        <f t="array" ref="K18">IF(H18&lt;&gt;"PHR",0,IF(AI18=LARGE(IF($H:$H="PHR",$AI:$AI,""),1),1,0))</f>
        <v>0</v>
      </c>
      <c r="L18" s="64">
        <f t="array" ref="L18">IF(H18&lt;&gt;"Shaltari",0,IF(AI18=LARGE(IF($H:$H="Shaltari",$AI:$AI,""),1),1,0))</f>
        <v>0</v>
      </c>
      <c r="M18" s="64">
        <f t="array" ref="M18">IF(H18&lt;&gt;"Resistance",0,IF(AI18=LARGE(IF($H:$H="Resistance",$AI:$AI,""),1),1,0))</f>
        <v>0</v>
      </c>
      <c r="N18" s="64">
        <f t="shared" si="4"/>
        <v>0</v>
      </c>
      <c r="O18" s="35"/>
      <c r="P18" s="64" t="str">
        <f t="shared" si="5"/>
        <v/>
      </c>
      <c r="Q18" s="79"/>
      <c r="R18" s="64">
        <f t="array" ref="R18">IF(Q18="",0,IF(COUNTIF(G:G,Q18)&gt;=1,LARGE(IF($G:$G=Q18,$AI:$AI),1),0))</f>
        <v>0</v>
      </c>
      <c r="S18" s="64">
        <f t="array" ref="S18">IF(Q18="",0,IF(COUNTIF(G:G,Q18)&gt;=2,LARGE(IF($G:$G=Q18,$AI:$AI),2),0))</f>
        <v>0</v>
      </c>
      <c r="T18" s="64">
        <f t="array" ref="T18">IF(Q18="",0,IF(COUNTIF(G:G,Q18)&gt;=3,LARGE(IF($G:$G=Q18,$AI:$AI),3),0))</f>
        <v>0</v>
      </c>
      <c r="U18" s="64">
        <f t="shared" si="6"/>
        <v>0</v>
      </c>
      <c r="V18">
        <v>12</v>
      </c>
      <c r="X18" s="9" t="str">
        <f>VLOOKUP(C18,'Round 1'!$D:$G,4,FALSE)</f>
        <v/>
      </c>
      <c r="Y18" s="1" t="str">
        <f>IF(COUNTIF('Round 2'!$D:$D,C18)=1,VLOOKUP(C18,'Round 2'!$D:$G,4,FALSE),"")</f>
        <v/>
      </c>
      <c r="Z18" s="1" t="str">
        <f>IF(COUNTIF('Round 3'!$D:$D,C18)=1,VLOOKUP(C18,'Round 3'!$D:$G,4,FALSE),"")</f>
        <v/>
      </c>
      <c r="AA18" s="10" t="str">
        <f>IF(COUNTIF('Round 4'!$D:$D,C18)=1,VLOOKUP(C18,'Round 4'!$D:$G,4,FALSE),"")</f>
        <v/>
      </c>
      <c r="AC18">
        <f>G4</f>
        <v>5</v>
      </c>
      <c r="AD18" s="9" t="str">
        <f>IF(C18="","",IF(COUNTIF('Round 1'!$D:$D,C18)=1,IF(VLOOKUP(C18,'Round 1'!$D:$Q,14,FALSE)="",0,IF(AC18&gt;=1,(VLOOKUP(C18,'Round 1'!$D:$Q,14,FALSE)*10000)+VLOOKUP(C18,'Round 1'!$D:$K,8,FALSE),0)),0))</f>
        <v/>
      </c>
      <c r="AE18" s="1" t="str">
        <f>IF(C18="","",IF(COUNTIF('Round 2'!$D:$D,C18)=1,IF(VLOOKUP(C18,'Round 2'!$D:$Q,14,FALSE)="",0,IF(AC18&gt;=2,(VLOOKUP(C18,'Round 2'!$D:$Q,14,FALSE)*10000)+VLOOKUP(C18,'Round 2'!$D:$K,8,FALSE),0)),0))</f>
        <v/>
      </c>
      <c r="AF18" s="1" t="str">
        <f>IF(C18="","",IF(COUNTIF('Round 3'!$D:$D,C18)=1,IF(VLOOKUP(C18,'Round 3'!$D:$Q,14,FALSE)="",0,IF(AC18&gt;=3,(VLOOKUP(C18,'Round 3'!$D:$Q,14,FALSE)*10000)+VLOOKUP(C18,'Round 3'!$D:$K,8,FALSE),0)),0))</f>
        <v/>
      </c>
      <c r="AG18" s="1" t="str">
        <f>IF(C18="","",IF(COUNTIF('Round 4'!$D:$D,C18)=1,IF(VLOOKUP(C18,'Round 4'!$D:$Q,14,FALSE)="",0,IF(AC18&gt;=4,(VLOOKUP(C18,'Round 4'!$D:$Q,14,FALSE)*10000)+VLOOKUP(C18,'Round 4'!$D:$K,8,FALSE),0)),0))</f>
        <v/>
      </c>
      <c r="AH18" s="30" t="str">
        <f>IF(C18="","",IF(COUNTIF('Round 5'!$D:$D,C18)=1,IF(VLOOKUP(C18,'Round 5'!$D:$Q,14,FALSE)="",0,IF(AC18&gt;=5,(VLOOKUP(C18,'Round 5'!$D:$Q,14,FALSE)*10000)+VLOOKUP(C18,'Round 5'!$D:$K,8,FALSE),0)),0))</f>
        <v/>
      </c>
      <c r="AI18" s="58" t="str">
        <f t="shared" si="1"/>
        <v/>
      </c>
      <c r="AJ18" s="59" t="str">
        <f t="shared" si="2"/>
        <v/>
      </c>
    </row>
    <row r="19" spans="2:36" ht="15" thickBot="1" x14ac:dyDescent="0.35">
      <c r="B19" s="54" t="str">
        <f t="shared" si="3"/>
        <v/>
      </c>
      <c r="C19" s="9" t="str">
        <f t="shared" si="0"/>
        <v/>
      </c>
      <c r="D19" s="70"/>
      <c r="E19" s="71"/>
      <c r="F19" s="70"/>
      <c r="G19" s="72"/>
      <c r="H19" s="73"/>
      <c r="I19" s="64">
        <f t="array" ref="I19">IF(H19&lt;&gt;"UCM",0,IF(AI19=LARGE(IF($H:$H="UCM",$AI:$AI,""),1),1,0))</f>
        <v>0</v>
      </c>
      <c r="J19" s="64">
        <f t="array" ref="J19">IF(H19&lt;&gt;"Scourge",0,IF(AI19=LARGE(IF($H:$H="Scourge",$AI:$AI,""),1),1,0))</f>
        <v>0</v>
      </c>
      <c r="K19" s="64">
        <f t="array" ref="K19">IF(H19&lt;&gt;"PHR",0,IF(AI19=LARGE(IF($H:$H="PHR",$AI:$AI,""),1),1,0))</f>
        <v>0</v>
      </c>
      <c r="L19" s="64">
        <f t="array" ref="L19">IF(H19&lt;&gt;"Shaltari",0,IF(AI19=LARGE(IF($H:$H="Shaltari",$AI:$AI,""),1),1,0))</f>
        <v>0</v>
      </c>
      <c r="M19" s="64">
        <f t="array" ref="M19">IF(H19&lt;&gt;"Resistance",0,IF(AI19=LARGE(IF($H:$H="Resistance",$AI:$AI,""),1),1,0))</f>
        <v>0</v>
      </c>
      <c r="N19" s="64">
        <f t="shared" si="4"/>
        <v>0</v>
      </c>
      <c r="O19" s="35"/>
      <c r="P19" s="64" t="str">
        <f t="shared" si="5"/>
        <v/>
      </c>
      <c r="Q19" s="79"/>
      <c r="R19" s="64">
        <f t="array" ref="R19">IF(Q19="",0,IF(COUNTIF(G:G,Q19)&gt;=1,LARGE(IF($G:$G=Q19,$AI:$AI),1),0))</f>
        <v>0</v>
      </c>
      <c r="S19" s="64">
        <f t="array" ref="S19">IF(Q19="",0,IF(COUNTIF(G:G,Q19)&gt;=2,LARGE(IF($G:$G=Q19,$AI:$AI),2),0))</f>
        <v>0</v>
      </c>
      <c r="T19" s="64">
        <f t="array" ref="T19">IF(Q19="",0,IF(COUNTIF(G:G,Q19)&gt;=3,LARGE(IF($G:$G=Q19,$AI:$AI),3),0))</f>
        <v>0</v>
      </c>
      <c r="U19" s="64">
        <f t="shared" si="6"/>
        <v>0</v>
      </c>
      <c r="V19">
        <v>13</v>
      </c>
      <c r="X19" s="9" t="str">
        <f>VLOOKUP(C19,'Round 1'!$D:$G,4,FALSE)</f>
        <v/>
      </c>
      <c r="Y19" s="1" t="str">
        <f>IF(COUNTIF('Round 2'!$D:$D,C19)=1,VLOOKUP(C19,'Round 2'!$D:$G,4,FALSE),"")</f>
        <v/>
      </c>
      <c r="Z19" s="1" t="str">
        <f>IF(COUNTIF('Round 3'!$D:$D,C19)=1,VLOOKUP(C19,'Round 3'!$D:$G,4,FALSE),"")</f>
        <v/>
      </c>
      <c r="AA19" s="10" t="str">
        <f>IF(COUNTIF('Round 4'!$D:$D,C19)=1,VLOOKUP(C19,'Round 4'!$D:$G,4,FALSE),"")</f>
        <v/>
      </c>
      <c r="AC19">
        <f>G4</f>
        <v>5</v>
      </c>
      <c r="AD19" s="9" t="str">
        <f>IF(C19="","",IF(COUNTIF('Round 1'!$D:$D,C19)=1,IF(VLOOKUP(C19,'Round 1'!$D:$Q,14,FALSE)="",0,IF(AC19&gt;=1,(VLOOKUP(C19,'Round 1'!$D:$Q,14,FALSE)*10000)+VLOOKUP(C19,'Round 1'!$D:$K,8,FALSE),0)),0))</f>
        <v/>
      </c>
      <c r="AE19" s="1" t="str">
        <f>IF(C19="","",IF(COUNTIF('Round 2'!$D:$D,C19)=1,IF(VLOOKUP(C19,'Round 2'!$D:$Q,14,FALSE)="",0,IF(AC19&gt;=2,(VLOOKUP(C19,'Round 2'!$D:$Q,14,FALSE)*10000)+VLOOKUP(C19,'Round 2'!$D:$K,8,FALSE),0)),0))</f>
        <v/>
      </c>
      <c r="AF19" s="1" t="str">
        <f>IF(C19="","",IF(COUNTIF('Round 3'!$D:$D,C19)=1,IF(VLOOKUP(C19,'Round 3'!$D:$Q,14,FALSE)="",0,IF(AC19&gt;=3,(VLOOKUP(C19,'Round 3'!$D:$Q,14,FALSE)*10000)+VLOOKUP(C19,'Round 3'!$D:$K,8,FALSE),0)),0))</f>
        <v/>
      </c>
      <c r="AG19" s="1" t="str">
        <f>IF(C19="","",IF(COUNTIF('Round 4'!$D:$D,C19)=1,IF(VLOOKUP(C19,'Round 4'!$D:$Q,14,FALSE)="",0,IF(AC19&gt;=4,(VLOOKUP(C19,'Round 4'!$D:$Q,14,FALSE)*10000)+VLOOKUP(C19,'Round 4'!$D:$K,8,FALSE),0)),0))</f>
        <v/>
      </c>
      <c r="AH19" s="30" t="str">
        <f>IF(C19="","",IF(COUNTIF('Round 5'!$D:$D,C19)=1,IF(VLOOKUP(C19,'Round 5'!$D:$Q,14,FALSE)="",0,IF(AC19&gt;=5,(VLOOKUP(C19,'Round 5'!$D:$Q,14,FALSE)*10000)+VLOOKUP(C19,'Round 5'!$D:$K,8,FALSE),0)),0))</f>
        <v/>
      </c>
      <c r="AI19" s="58" t="str">
        <f t="shared" si="1"/>
        <v/>
      </c>
      <c r="AJ19" s="59" t="str">
        <f t="shared" si="2"/>
        <v/>
      </c>
    </row>
    <row r="20" spans="2:36" ht="15" thickBot="1" x14ac:dyDescent="0.35">
      <c r="B20" s="54" t="str">
        <f t="shared" si="3"/>
        <v/>
      </c>
      <c r="C20" s="9" t="str">
        <f t="shared" si="0"/>
        <v/>
      </c>
      <c r="D20" s="70"/>
      <c r="E20" s="71"/>
      <c r="F20" s="70"/>
      <c r="G20" s="72"/>
      <c r="H20" s="73"/>
      <c r="I20" s="64">
        <f t="array" ref="I20">IF(H20&lt;&gt;"UCM",0,IF(AI20=LARGE(IF($H:$H="UCM",$AI:$AI,""),1),1,0))</f>
        <v>0</v>
      </c>
      <c r="J20" s="64">
        <f t="array" ref="J20">IF(H20&lt;&gt;"Scourge",0,IF(AI20=LARGE(IF($H:$H="Scourge",$AI:$AI,""),1),1,0))</f>
        <v>0</v>
      </c>
      <c r="K20" s="64">
        <f t="array" ref="K20">IF(H20&lt;&gt;"PHR",0,IF(AI20=LARGE(IF($H:$H="PHR",$AI:$AI,""),1),1,0))</f>
        <v>0</v>
      </c>
      <c r="L20" s="64">
        <f t="array" ref="L20">IF(H20&lt;&gt;"Shaltari",0,IF(AI20=LARGE(IF($H:$H="Shaltari",$AI:$AI,""),1),1,0))</f>
        <v>0</v>
      </c>
      <c r="M20" s="64">
        <f t="array" ref="M20">IF(H20&lt;&gt;"Resistance",0,IF(AI20=LARGE(IF($H:$H="Resistance",$AI:$AI,""),1),1,0))</f>
        <v>0</v>
      </c>
      <c r="N20" s="64">
        <f t="shared" si="4"/>
        <v>0</v>
      </c>
      <c r="O20" s="35"/>
      <c r="P20" s="64" t="str">
        <f t="shared" si="5"/>
        <v/>
      </c>
      <c r="Q20" s="79"/>
      <c r="R20" s="64">
        <f t="array" ref="R20">IF(Q20="",0,IF(COUNTIF(G:G,Q20)&gt;=1,LARGE(IF($G:$G=Q20,$AI:$AI),1),0))</f>
        <v>0</v>
      </c>
      <c r="S20" s="64">
        <f t="array" ref="S20">IF(Q20="",0,IF(COUNTIF(G:G,Q20)&gt;=2,LARGE(IF($G:$G=Q20,$AI:$AI),2),0))</f>
        <v>0</v>
      </c>
      <c r="T20" s="64">
        <f t="array" ref="T20">IF(Q20="",0,IF(COUNTIF(G:G,Q20)&gt;=3,LARGE(IF($G:$G=Q20,$AI:$AI),3),0))</f>
        <v>0</v>
      </c>
      <c r="U20" s="64">
        <f t="shared" si="6"/>
        <v>0</v>
      </c>
      <c r="V20">
        <v>14</v>
      </c>
      <c r="X20" s="9" t="str">
        <f>VLOOKUP(C20,'Round 1'!$D:$G,4,FALSE)</f>
        <v/>
      </c>
      <c r="Y20" s="1" t="str">
        <f>IF(COUNTIF('Round 2'!$D:$D,C20)=1,VLOOKUP(C20,'Round 2'!$D:$G,4,FALSE),"")</f>
        <v/>
      </c>
      <c r="Z20" s="1" t="str">
        <f>IF(COUNTIF('Round 3'!$D:$D,C20)=1,VLOOKUP(C20,'Round 3'!$D:$G,4,FALSE),"")</f>
        <v/>
      </c>
      <c r="AA20" s="10" t="str">
        <f>IF(COUNTIF('Round 4'!$D:$D,C20)=1,VLOOKUP(C20,'Round 4'!$D:$G,4,FALSE),"")</f>
        <v/>
      </c>
      <c r="AC20">
        <f>G4</f>
        <v>5</v>
      </c>
      <c r="AD20" s="9" t="str">
        <f>IF(C20="","",IF(COUNTIF('Round 1'!$D:$D,C20)=1,IF(VLOOKUP(C20,'Round 1'!$D:$Q,14,FALSE)="",0,IF(AC20&gt;=1,(VLOOKUP(C20,'Round 1'!$D:$Q,14,FALSE)*10000)+VLOOKUP(C20,'Round 1'!$D:$K,8,FALSE),0)),0))</f>
        <v/>
      </c>
      <c r="AE20" s="1" t="str">
        <f>IF(C20="","",IF(COUNTIF('Round 2'!$D:$D,C20)=1,IF(VLOOKUP(C20,'Round 2'!$D:$Q,14,FALSE)="",0,IF(AC20&gt;=2,(VLOOKUP(C20,'Round 2'!$D:$Q,14,FALSE)*10000)+VLOOKUP(C20,'Round 2'!$D:$K,8,FALSE),0)),0))</f>
        <v/>
      </c>
      <c r="AF20" s="1" t="str">
        <f>IF(C20="","",IF(COUNTIF('Round 3'!$D:$D,C20)=1,IF(VLOOKUP(C20,'Round 3'!$D:$Q,14,FALSE)="",0,IF(AC20&gt;=3,(VLOOKUP(C20,'Round 3'!$D:$Q,14,FALSE)*10000)+VLOOKUP(C20,'Round 3'!$D:$K,8,FALSE),0)),0))</f>
        <v/>
      </c>
      <c r="AG20" s="1" t="str">
        <f>IF(C20="","",IF(COUNTIF('Round 4'!$D:$D,C20)=1,IF(VLOOKUP(C20,'Round 4'!$D:$Q,14,FALSE)="",0,IF(AC20&gt;=4,(VLOOKUP(C20,'Round 4'!$D:$Q,14,FALSE)*10000)+VLOOKUP(C20,'Round 4'!$D:$K,8,FALSE),0)),0))</f>
        <v/>
      </c>
      <c r="AH20" s="30" t="str">
        <f>IF(C20="","",IF(COUNTIF('Round 5'!$D:$D,C20)=1,IF(VLOOKUP(C20,'Round 5'!$D:$Q,14,FALSE)="",0,IF(AC20&gt;=5,(VLOOKUP(C20,'Round 5'!$D:$Q,14,FALSE)*10000)+VLOOKUP(C20,'Round 5'!$D:$K,8,FALSE),0)),0))</f>
        <v/>
      </c>
      <c r="AI20" s="58" t="str">
        <f t="shared" si="1"/>
        <v/>
      </c>
      <c r="AJ20" s="59" t="str">
        <f t="shared" si="2"/>
        <v/>
      </c>
    </row>
    <row r="21" spans="2:36" ht="15" thickBot="1" x14ac:dyDescent="0.35">
      <c r="B21" s="54" t="str">
        <f t="shared" si="3"/>
        <v/>
      </c>
      <c r="C21" s="9" t="str">
        <f t="shared" si="0"/>
        <v/>
      </c>
      <c r="D21" s="70"/>
      <c r="E21" s="71"/>
      <c r="F21" s="70"/>
      <c r="G21" s="72"/>
      <c r="H21" s="73"/>
      <c r="I21" s="64">
        <f t="array" ref="I21">IF(H21&lt;&gt;"UCM",0,IF(AI21=LARGE(IF($H:$H="UCM",$AI:$AI,""),1),1,0))</f>
        <v>0</v>
      </c>
      <c r="J21" s="64">
        <f t="array" ref="J21">IF(H21&lt;&gt;"Scourge",0,IF(AI21=LARGE(IF($H:$H="Scourge",$AI:$AI,""),1),1,0))</f>
        <v>0</v>
      </c>
      <c r="K21" s="64">
        <f t="array" ref="K21">IF(H21&lt;&gt;"PHR",0,IF(AI21=LARGE(IF($H:$H="PHR",$AI:$AI,""),1),1,0))</f>
        <v>0</v>
      </c>
      <c r="L21" s="64">
        <f t="array" ref="L21">IF(H21&lt;&gt;"Shaltari",0,IF(AI21=LARGE(IF($H:$H="Shaltari",$AI:$AI,""),1),1,0))</f>
        <v>0</v>
      </c>
      <c r="M21" s="64">
        <f t="array" ref="M21">IF(H21&lt;&gt;"Resistance",0,IF(AI21=LARGE(IF($H:$H="Resistance",$AI:$AI,""),1),1,0))</f>
        <v>0</v>
      </c>
      <c r="N21" s="64">
        <f t="shared" si="4"/>
        <v>0</v>
      </c>
      <c r="O21" s="35"/>
      <c r="P21" s="64" t="str">
        <f t="shared" si="5"/>
        <v/>
      </c>
      <c r="Q21" s="79"/>
      <c r="R21" s="64">
        <f t="array" ref="R21">IF(Q21="",0,IF(COUNTIF(G:G,Q21)&gt;=1,LARGE(IF($G:$G=Q21,$AI:$AI),1),0))</f>
        <v>0</v>
      </c>
      <c r="S21" s="64">
        <f t="array" ref="S21">IF(Q21="",0,IF(COUNTIF(G:G,Q21)&gt;=2,LARGE(IF($G:$G=Q21,$AI:$AI),2),0))</f>
        <v>0</v>
      </c>
      <c r="T21" s="64">
        <f t="array" ref="T21">IF(Q21="",0,IF(COUNTIF(G:G,Q21)&gt;=3,LARGE(IF($G:$G=Q21,$AI:$AI),3),0))</f>
        <v>0</v>
      </c>
      <c r="U21" s="64">
        <f t="shared" si="6"/>
        <v>0</v>
      </c>
      <c r="V21">
        <v>15</v>
      </c>
      <c r="X21" s="9" t="str">
        <f>VLOOKUP(C21,'Round 1'!$D:$G,4,FALSE)</f>
        <v/>
      </c>
      <c r="Y21" s="1" t="str">
        <f>IF(COUNTIF('Round 2'!$D:$D,C21)=1,VLOOKUP(C21,'Round 2'!$D:$G,4,FALSE),"")</f>
        <v/>
      </c>
      <c r="Z21" s="1" t="str">
        <f>IF(COUNTIF('Round 3'!$D:$D,C21)=1,VLOOKUP(C21,'Round 3'!$D:$G,4,FALSE),"")</f>
        <v/>
      </c>
      <c r="AA21" s="10" t="str">
        <f>IF(COUNTIF('Round 4'!$D:$D,C21)=1,VLOOKUP(C21,'Round 4'!$D:$G,4,FALSE),"")</f>
        <v/>
      </c>
      <c r="AC21">
        <f>G4</f>
        <v>5</v>
      </c>
      <c r="AD21" s="9" t="str">
        <f>IF(C21="","",IF(COUNTIF('Round 1'!$D:$D,C21)=1,IF(VLOOKUP(C21,'Round 1'!$D:$Q,14,FALSE)="",0,IF(AC21&gt;=1,(VLOOKUP(C21,'Round 1'!$D:$Q,14,FALSE)*10000)+VLOOKUP(C21,'Round 1'!$D:$K,8,FALSE),0)),0))</f>
        <v/>
      </c>
      <c r="AE21" s="1" t="str">
        <f>IF(C21="","",IF(COUNTIF('Round 2'!$D:$D,C21)=1,IF(VLOOKUP(C21,'Round 2'!$D:$Q,14,FALSE)="",0,IF(AC21&gt;=2,(VLOOKUP(C21,'Round 2'!$D:$Q,14,FALSE)*10000)+VLOOKUP(C21,'Round 2'!$D:$K,8,FALSE),0)),0))</f>
        <v/>
      </c>
      <c r="AF21" s="1" t="str">
        <f>IF(C21="","",IF(COUNTIF('Round 3'!$D:$D,C21)=1,IF(VLOOKUP(C21,'Round 3'!$D:$Q,14,FALSE)="",0,IF(AC21&gt;=3,(VLOOKUP(C21,'Round 3'!$D:$Q,14,FALSE)*10000)+VLOOKUP(C21,'Round 3'!$D:$K,8,FALSE),0)),0))</f>
        <v/>
      </c>
      <c r="AG21" s="1" t="str">
        <f>IF(C21="","",IF(COUNTIF('Round 4'!$D:$D,C21)=1,IF(VLOOKUP(C21,'Round 4'!$D:$Q,14,FALSE)="",0,IF(AC21&gt;=4,(VLOOKUP(C21,'Round 4'!$D:$Q,14,FALSE)*10000)+VLOOKUP(C21,'Round 4'!$D:$K,8,FALSE),0)),0))</f>
        <v/>
      </c>
      <c r="AH21" s="30" t="str">
        <f>IF(C21="","",IF(COUNTIF('Round 5'!$D:$D,C21)=1,IF(VLOOKUP(C21,'Round 5'!$D:$Q,14,FALSE)="",0,IF(AC21&gt;=5,(VLOOKUP(C21,'Round 5'!$D:$Q,14,FALSE)*10000)+VLOOKUP(C21,'Round 5'!$D:$K,8,FALSE),0)),0))</f>
        <v/>
      </c>
      <c r="AI21" s="58" t="str">
        <f t="shared" si="1"/>
        <v/>
      </c>
      <c r="AJ21" s="59" t="str">
        <f t="shared" si="2"/>
        <v/>
      </c>
    </row>
    <row r="22" spans="2:36" ht="15" thickBot="1" x14ac:dyDescent="0.35">
      <c r="B22" s="54" t="str">
        <f t="shared" si="3"/>
        <v/>
      </c>
      <c r="C22" s="9" t="str">
        <f t="shared" si="0"/>
        <v/>
      </c>
      <c r="D22" s="70"/>
      <c r="E22" s="71"/>
      <c r="F22" s="70"/>
      <c r="G22" s="72"/>
      <c r="H22" s="73"/>
      <c r="I22" s="64">
        <f t="array" ref="I22">IF(H22&lt;&gt;"UCM",0,IF(AI22=LARGE(IF($H:$H="UCM",$AI:$AI,""),1),1,0))</f>
        <v>0</v>
      </c>
      <c r="J22" s="64">
        <f t="array" ref="J22">IF(H22&lt;&gt;"Scourge",0,IF(AI22=LARGE(IF($H:$H="Scourge",$AI:$AI,""),1),1,0))</f>
        <v>0</v>
      </c>
      <c r="K22" s="64">
        <f t="array" ref="K22">IF(H22&lt;&gt;"PHR",0,IF(AI22=LARGE(IF($H:$H="PHR",$AI:$AI,""),1),1,0))</f>
        <v>0</v>
      </c>
      <c r="L22" s="64">
        <f t="array" ref="L22">IF(H22&lt;&gt;"Shaltari",0,IF(AI22=LARGE(IF($H:$H="Shaltari",$AI:$AI,""),1),1,0))</f>
        <v>0</v>
      </c>
      <c r="M22" s="64">
        <f t="array" ref="M22">IF(H22&lt;&gt;"Resistance",0,IF(AI22=LARGE(IF($H:$H="Resistance",$AI:$AI,""),1),1,0))</f>
        <v>0</v>
      </c>
      <c r="N22" s="64">
        <f t="shared" si="4"/>
        <v>0</v>
      </c>
      <c r="O22" s="35"/>
      <c r="P22" s="64" t="str">
        <f t="shared" si="5"/>
        <v/>
      </c>
      <c r="Q22" s="79"/>
      <c r="R22" s="64">
        <f t="array" ref="R22">IF(Q22="",0,IF(COUNTIF(G:G,Q22)&gt;=1,LARGE(IF($G:$G=Q22,$AI:$AI),1),0))</f>
        <v>0</v>
      </c>
      <c r="S22" s="64">
        <f t="array" ref="S22">IF(Q22="",0,IF(COUNTIF(G:G,Q22)&gt;=2,LARGE(IF($G:$G=Q22,$AI:$AI),2),0))</f>
        <v>0</v>
      </c>
      <c r="T22" s="64">
        <f t="array" ref="T22">IF(Q22="",0,IF(COUNTIF(G:G,Q22)&gt;=3,LARGE(IF($G:$G=Q22,$AI:$AI),3),0))</f>
        <v>0</v>
      </c>
      <c r="U22" s="64">
        <f t="shared" si="6"/>
        <v>0</v>
      </c>
      <c r="V22">
        <v>16</v>
      </c>
      <c r="X22" s="9" t="str">
        <f>VLOOKUP(C22,'Round 1'!$D:$G,4,FALSE)</f>
        <v/>
      </c>
      <c r="Y22" s="1" t="str">
        <f>IF(COUNTIF('Round 2'!$D:$D,C22)=1,VLOOKUP(C22,'Round 2'!$D:$G,4,FALSE),"")</f>
        <v/>
      </c>
      <c r="Z22" s="1" t="str">
        <f>IF(COUNTIF('Round 3'!$D:$D,C22)=1,VLOOKUP(C22,'Round 3'!$D:$G,4,FALSE),"")</f>
        <v/>
      </c>
      <c r="AA22" s="10" t="str">
        <f>IF(COUNTIF('Round 4'!$D:$D,C22)=1,VLOOKUP(C22,'Round 4'!$D:$G,4,FALSE),"")</f>
        <v/>
      </c>
      <c r="AC22">
        <f>G4</f>
        <v>5</v>
      </c>
      <c r="AD22" s="9" t="str">
        <f>IF(C22="","",IF(COUNTIF('Round 1'!$D:$D,C22)=1,IF(VLOOKUP(C22,'Round 1'!$D:$Q,14,FALSE)="",0,IF(AC22&gt;=1,(VLOOKUP(C22,'Round 1'!$D:$Q,14,FALSE)*10000)+VLOOKUP(C22,'Round 1'!$D:$K,8,FALSE),0)),0))</f>
        <v/>
      </c>
      <c r="AE22" s="1" t="str">
        <f>IF(C22="","",IF(COUNTIF('Round 2'!$D:$D,C22)=1,IF(VLOOKUP(C22,'Round 2'!$D:$Q,14,FALSE)="",0,IF(AC22&gt;=2,(VLOOKUP(C22,'Round 2'!$D:$Q,14,FALSE)*10000)+VLOOKUP(C22,'Round 2'!$D:$K,8,FALSE),0)),0))</f>
        <v/>
      </c>
      <c r="AF22" s="1" t="str">
        <f>IF(C22="","",IF(COUNTIF('Round 3'!$D:$D,C22)=1,IF(VLOOKUP(C22,'Round 3'!$D:$Q,14,FALSE)="",0,IF(AC22&gt;=3,(VLOOKUP(C22,'Round 3'!$D:$Q,14,FALSE)*10000)+VLOOKUP(C22,'Round 3'!$D:$K,8,FALSE),0)),0))</f>
        <v/>
      </c>
      <c r="AG22" s="1" t="str">
        <f>IF(C22="","",IF(COUNTIF('Round 4'!$D:$D,C22)=1,IF(VLOOKUP(C22,'Round 4'!$D:$Q,14,FALSE)="",0,IF(AC22&gt;=4,(VLOOKUP(C22,'Round 4'!$D:$Q,14,FALSE)*10000)+VLOOKUP(C22,'Round 4'!$D:$K,8,FALSE),0)),0))</f>
        <v/>
      </c>
      <c r="AH22" s="30" t="str">
        <f>IF(C22="","",IF(COUNTIF('Round 5'!$D:$D,C22)=1,IF(VLOOKUP(C22,'Round 5'!$D:$Q,14,FALSE)="",0,IF(AC22&gt;=5,(VLOOKUP(C22,'Round 5'!$D:$Q,14,FALSE)*10000)+VLOOKUP(C22,'Round 5'!$D:$K,8,FALSE),0)),0))</f>
        <v/>
      </c>
      <c r="AI22" s="58" t="str">
        <f t="shared" si="1"/>
        <v/>
      </c>
      <c r="AJ22" s="59" t="str">
        <f t="shared" si="2"/>
        <v/>
      </c>
    </row>
    <row r="23" spans="2:36" ht="15" thickBot="1" x14ac:dyDescent="0.35">
      <c r="B23" s="54" t="str">
        <f t="shared" si="3"/>
        <v/>
      </c>
      <c r="C23" s="9" t="str">
        <f t="shared" si="0"/>
        <v/>
      </c>
      <c r="D23" s="70"/>
      <c r="E23" s="71"/>
      <c r="F23" s="70"/>
      <c r="G23" s="72"/>
      <c r="H23" s="73"/>
      <c r="I23" s="64">
        <f t="array" ref="I23">IF(H23&lt;&gt;"UCM",0,IF(AI23=LARGE(IF($H:$H="UCM",$AI:$AI,""),1),1,0))</f>
        <v>0</v>
      </c>
      <c r="J23" s="64">
        <f t="array" ref="J23">IF(H23&lt;&gt;"Scourge",0,IF(AI23=LARGE(IF($H:$H="Scourge",$AI:$AI,""),1),1,0))</f>
        <v>0</v>
      </c>
      <c r="K23" s="64">
        <f t="array" ref="K23">IF(H23&lt;&gt;"PHR",0,IF(AI23=LARGE(IF($H:$H="PHR",$AI:$AI,""),1),1,0))</f>
        <v>0</v>
      </c>
      <c r="L23" s="64">
        <f t="array" ref="L23">IF(H23&lt;&gt;"Shaltari",0,IF(AI23=LARGE(IF($H:$H="Shaltari",$AI:$AI,""),1),1,0))</f>
        <v>0</v>
      </c>
      <c r="M23" s="64">
        <f t="array" ref="M23">IF(H23&lt;&gt;"Resistance",0,IF(AI23=LARGE(IF($H:$H="Resistance",$AI:$AI,""),1),1,0))</f>
        <v>0</v>
      </c>
      <c r="N23" s="64">
        <f t="shared" si="4"/>
        <v>0</v>
      </c>
      <c r="O23" s="35"/>
      <c r="P23" s="64" t="str">
        <f t="shared" si="5"/>
        <v/>
      </c>
      <c r="Q23" s="79"/>
      <c r="R23" s="64">
        <f t="array" ref="R23">IF(Q23="",0,IF(COUNTIF(G:G,Q23)&gt;=1,LARGE(IF($G:$G=Q23,$AI:$AI),1),0))</f>
        <v>0</v>
      </c>
      <c r="S23" s="64">
        <f t="array" ref="S23">IF(Q23="",0,IF(COUNTIF(G:G,Q23)&gt;=2,LARGE(IF($G:$G=Q23,$AI:$AI),2),0))</f>
        <v>0</v>
      </c>
      <c r="T23" s="64">
        <f t="array" ref="T23">IF(Q23="",0,IF(COUNTIF(G:G,Q23)&gt;=3,LARGE(IF($G:$G=Q23,$AI:$AI),3),0))</f>
        <v>0</v>
      </c>
      <c r="U23" s="64">
        <f t="shared" si="6"/>
        <v>0</v>
      </c>
      <c r="V23">
        <v>17</v>
      </c>
      <c r="X23" s="9" t="str">
        <f>VLOOKUP(C23,'Round 1'!$D:$G,4,FALSE)</f>
        <v/>
      </c>
      <c r="Y23" s="1" t="str">
        <f>IF(COUNTIF('Round 2'!$D:$D,C23)=1,VLOOKUP(C23,'Round 2'!$D:$G,4,FALSE),"")</f>
        <v/>
      </c>
      <c r="Z23" s="1" t="str">
        <f>IF(COUNTIF('Round 3'!$D:$D,C23)=1,VLOOKUP(C23,'Round 3'!$D:$G,4,FALSE),"")</f>
        <v/>
      </c>
      <c r="AA23" s="10" t="str">
        <f>IF(COUNTIF('Round 4'!$D:$D,C23)=1,VLOOKUP(C23,'Round 4'!$D:$G,4,FALSE),"")</f>
        <v/>
      </c>
      <c r="AC23">
        <f>G4</f>
        <v>5</v>
      </c>
      <c r="AD23" s="9" t="str">
        <f>IF(C23="","",IF(COUNTIF('Round 1'!$D:$D,C23)=1,IF(VLOOKUP(C23,'Round 1'!$D:$Q,14,FALSE)="",0,IF(AC23&gt;=1,(VLOOKUP(C23,'Round 1'!$D:$Q,14,FALSE)*10000)+VLOOKUP(C23,'Round 1'!$D:$K,8,FALSE),0)),0))</f>
        <v/>
      </c>
      <c r="AE23" s="1" t="str">
        <f>IF(C23="","",IF(COUNTIF('Round 2'!$D:$D,C23)=1,IF(VLOOKUP(C23,'Round 2'!$D:$Q,14,FALSE)="",0,IF(AC23&gt;=2,(VLOOKUP(C23,'Round 2'!$D:$Q,14,FALSE)*10000)+VLOOKUP(C23,'Round 2'!$D:$K,8,FALSE),0)),0))</f>
        <v/>
      </c>
      <c r="AF23" s="1" t="str">
        <f>IF(C23="","",IF(COUNTIF('Round 3'!$D:$D,C23)=1,IF(VLOOKUP(C23,'Round 3'!$D:$Q,14,FALSE)="",0,IF(AC23&gt;=3,(VLOOKUP(C23,'Round 3'!$D:$Q,14,FALSE)*10000)+VLOOKUP(C23,'Round 3'!$D:$K,8,FALSE),0)),0))</f>
        <v/>
      </c>
      <c r="AG23" s="1" t="str">
        <f>IF(C23="","",IF(COUNTIF('Round 4'!$D:$D,C23)=1,IF(VLOOKUP(C23,'Round 4'!$D:$Q,14,FALSE)="",0,IF(AC23&gt;=4,(VLOOKUP(C23,'Round 4'!$D:$Q,14,FALSE)*10000)+VLOOKUP(C23,'Round 4'!$D:$K,8,FALSE),0)),0))</f>
        <v/>
      </c>
      <c r="AH23" s="30" t="str">
        <f>IF(C23="","",IF(COUNTIF('Round 5'!$D:$D,C23)=1,IF(VLOOKUP(C23,'Round 5'!$D:$Q,14,FALSE)="",0,IF(AC23&gt;=5,(VLOOKUP(C23,'Round 5'!$D:$Q,14,FALSE)*10000)+VLOOKUP(C23,'Round 5'!$D:$K,8,FALSE),0)),0))</f>
        <v/>
      </c>
      <c r="AI23" s="58" t="str">
        <f t="shared" si="1"/>
        <v/>
      </c>
      <c r="AJ23" s="59" t="str">
        <f t="shared" si="2"/>
        <v/>
      </c>
    </row>
    <row r="24" spans="2:36" ht="15" thickBot="1" x14ac:dyDescent="0.35">
      <c r="B24" s="54" t="str">
        <f t="shared" si="3"/>
        <v/>
      </c>
      <c r="C24" s="9" t="str">
        <f t="shared" si="0"/>
        <v/>
      </c>
      <c r="D24" s="70"/>
      <c r="E24" s="71"/>
      <c r="F24" s="70"/>
      <c r="G24" s="72"/>
      <c r="H24" s="73"/>
      <c r="I24" s="64">
        <f t="array" ref="I24">IF(H24&lt;&gt;"UCM",0,IF(AI24=LARGE(IF($H:$H="UCM",$AI:$AI,""),1),1,0))</f>
        <v>0</v>
      </c>
      <c r="J24" s="64">
        <f t="array" ref="J24">IF(H24&lt;&gt;"Scourge",0,IF(AI24=LARGE(IF($H:$H="Scourge",$AI:$AI,""),1),1,0))</f>
        <v>0</v>
      </c>
      <c r="K24" s="64">
        <f t="array" ref="K24">IF(H24&lt;&gt;"PHR",0,IF(AI24=LARGE(IF($H:$H="PHR",$AI:$AI,""),1),1,0))</f>
        <v>0</v>
      </c>
      <c r="L24" s="64">
        <f t="array" ref="L24">IF(H24&lt;&gt;"Shaltari",0,IF(AI24=LARGE(IF($H:$H="Shaltari",$AI:$AI,""),1),1,0))</f>
        <v>0</v>
      </c>
      <c r="M24" s="64">
        <f t="array" ref="M24">IF(H24&lt;&gt;"Resistance",0,IF(AI24=LARGE(IF($H:$H="Resistance",$AI:$AI,""),1),1,0))</f>
        <v>0</v>
      </c>
      <c r="N24" s="64">
        <f t="shared" si="4"/>
        <v>0</v>
      </c>
      <c r="O24" s="35"/>
      <c r="P24" s="64" t="str">
        <f t="shared" si="5"/>
        <v/>
      </c>
      <c r="Q24" s="79"/>
      <c r="R24" s="64">
        <f t="array" ref="R24">IF(Q24="",0,IF(COUNTIF(G:G,Q24)&gt;=1,LARGE(IF($G:$G=Q24,$AI:$AI),1),0))</f>
        <v>0</v>
      </c>
      <c r="S24" s="64">
        <f t="array" ref="S24">IF(Q24="",0,IF(COUNTIF(G:G,Q24)&gt;=2,LARGE(IF($G:$G=Q24,$AI:$AI),2),0))</f>
        <v>0</v>
      </c>
      <c r="T24" s="64">
        <f t="array" ref="T24">IF(Q24="",0,IF(COUNTIF(G:G,Q24)&gt;=3,LARGE(IF($G:$G=Q24,$AI:$AI),3),0))</f>
        <v>0</v>
      </c>
      <c r="U24" s="64">
        <f t="shared" si="6"/>
        <v>0</v>
      </c>
      <c r="V24">
        <v>18</v>
      </c>
      <c r="X24" s="9" t="str">
        <f>VLOOKUP(C24,'Round 1'!$D:$G,4,FALSE)</f>
        <v/>
      </c>
      <c r="Y24" s="1" t="str">
        <f>IF(COUNTIF('Round 2'!$D:$D,C24)=1,VLOOKUP(C24,'Round 2'!$D:$G,4,FALSE),"")</f>
        <v/>
      </c>
      <c r="Z24" s="1" t="str">
        <f>IF(COUNTIF('Round 3'!$D:$D,C24)=1,VLOOKUP(C24,'Round 3'!$D:$G,4,FALSE),"")</f>
        <v/>
      </c>
      <c r="AA24" s="10" t="str">
        <f>IF(COUNTIF('Round 4'!$D:$D,C24)=1,VLOOKUP(C24,'Round 4'!$D:$G,4,FALSE),"")</f>
        <v/>
      </c>
      <c r="AC24">
        <f>G4</f>
        <v>5</v>
      </c>
      <c r="AD24" s="9" t="str">
        <f>IF(C24="","",IF(COUNTIF('Round 1'!$D:$D,C24)=1,IF(VLOOKUP(C24,'Round 1'!$D:$Q,14,FALSE)="",0,IF(AC24&gt;=1,(VLOOKUP(C24,'Round 1'!$D:$Q,14,FALSE)*10000)+VLOOKUP(C24,'Round 1'!$D:$K,8,FALSE),0)),0))</f>
        <v/>
      </c>
      <c r="AE24" s="1" t="str">
        <f>IF(C24="","",IF(COUNTIF('Round 2'!$D:$D,C24)=1,IF(VLOOKUP(C24,'Round 2'!$D:$Q,14,FALSE)="",0,IF(AC24&gt;=2,(VLOOKUP(C24,'Round 2'!$D:$Q,14,FALSE)*10000)+VLOOKUP(C24,'Round 2'!$D:$K,8,FALSE),0)),0))</f>
        <v/>
      </c>
      <c r="AF24" s="1" t="str">
        <f>IF(C24="","",IF(COUNTIF('Round 3'!$D:$D,C24)=1,IF(VLOOKUP(C24,'Round 3'!$D:$Q,14,FALSE)="",0,IF(AC24&gt;=3,(VLOOKUP(C24,'Round 3'!$D:$Q,14,FALSE)*10000)+VLOOKUP(C24,'Round 3'!$D:$K,8,FALSE),0)),0))</f>
        <v/>
      </c>
      <c r="AG24" s="1" t="str">
        <f>IF(C24="","",IF(COUNTIF('Round 4'!$D:$D,C24)=1,IF(VLOOKUP(C24,'Round 4'!$D:$Q,14,FALSE)="",0,IF(AC24&gt;=4,(VLOOKUP(C24,'Round 4'!$D:$Q,14,FALSE)*10000)+VLOOKUP(C24,'Round 4'!$D:$K,8,FALSE),0)),0))</f>
        <v/>
      </c>
      <c r="AH24" s="30" t="str">
        <f>IF(C24="","",IF(COUNTIF('Round 5'!$D:$D,C24)=1,IF(VLOOKUP(C24,'Round 5'!$D:$Q,14,FALSE)="",0,IF(AC24&gt;=5,(VLOOKUP(C24,'Round 5'!$D:$Q,14,FALSE)*10000)+VLOOKUP(C24,'Round 5'!$D:$K,8,FALSE),0)),0))</f>
        <v/>
      </c>
      <c r="AI24" s="58" t="str">
        <f t="shared" si="1"/>
        <v/>
      </c>
      <c r="AJ24" s="59" t="str">
        <f t="shared" si="2"/>
        <v/>
      </c>
    </row>
    <row r="25" spans="2:36" ht="15" thickBot="1" x14ac:dyDescent="0.35">
      <c r="B25" s="54" t="str">
        <f t="shared" si="3"/>
        <v/>
      </c>
      <c r="C25" s="9" t="str">
        <f t="shared" si="0"/>
        <v/>
      </c>
      <c r="D25" s="70"/>
      <c r="E25" s="71"/>
      <c r="F25" s="70"/>
      <c r="G25" s="72"/>
      <c r="H25" s="73"/>
      <c r="I25" s="64">
        <f t="array" ref="I25">IF(H25&lt;&gt;"UCM",0,IF(AI25=LARGE(IF($H:$H="UCM",$AI:$AI,""),1),1,0))</f>
        <v>0</v>
      </c>
      <c r="J25" s="64">
        <f t="array" ref="J25">IF(H25&lt;&gt;"Scourge",0,IF(AI25=LARGE(IF($H:$H="Scourge",$AI:$AI,""),1),1,0))</f>
        <v>0</v>
      </c>
      <c r="K25" s="64">
        <f t="array" ref="K25">IF(H25&lt;&gt;"PHR",0,IF(AI25=LARGE(IF($H:$H="PHR",$AI:$AI,""),1),1,0))</f>
        <v>0</v>
      </c>
      <c r="L25" s="64">
        <f t="array" ref="L25">IF(H25&lt;&gt;"Shaltari",0,IF(AI25=LARGE(IF($H:$H="Shaltari",$AI:$AI,""),1),1,0))</f>
        <v>0</v>
      </c>
      <c r="M25" s="64">
        <f t="array" ref="M25">IF(H25&lt;&gt;"Resistance",0,IF(AI25=LARGE(IF($H:$H="Resistance",$AI:$AI,""),1),1,0))</f>
        <v>0</v>
      </c>
      <c r="N25" s="64">
        <f t="shared" si="4"/>
        <v>0</v>
      </c>
      <c r="O25" s="35"/>
      <c r="P25" s="64" t="str">
        <f t="shared" si="5"/>
        <v/>
      </c>
      <c r="Q25" s="79"/>
      <c r="R25" s="64">
        <f t="array" ref="R25">IF(Q25="",0,IF(COUNTIF(G:G,Q25)&gt;=1,LARGE(IF($G:$G=Q25,$AI:$AI),1),0))</f>
        <v>0</v>
      </c>
      <c r="S25" s="64">
        <f t="array" ref="S25">IF(Q25="",0,IF(COUNTIF(G:G,Q25)&gt;=2,LARGE(IF($G:$G=Q25,$AI:$AI),2),0))</f>
        <v>0</v>
      </c>
      <c r="T25" s="64">
        <f t="array" ref="T25">IF(Q25="",0,IF(COUNTIF(G:G,Q25)&gt;=3,LARGE(IF($G:$G=Q25,$AI:$AI),3),0))</f>
        <v>0</v>
      </c>
      <c r="U25" s="64">
        <f t="shared" si="6"/>
        <v>0</v>
      </c>
      <c r="V25">
        <v>19</v>
      </c>
      <c r="X25" s="9" t="str">
        <f>VLOOKUP(C25,'Round 1'!$D:$G,4,FALSE)</f>
        <v/>
      </c>
      <c r="Y25" s="1" t="str">
        <f>IF(COUNTIF('Round 2'!$D:$D,C25)=1,VLOOKUP(C25,'Round 2'!$D:$G,4,FALSE),"")</f>
        <v/>
      </c>
      <c r="Z25" s="1" t="str">
        <f>IF(COUNTIF('Round 3'!$D:$D,C25)=1,VLOOKUP(C25,'Round 3'!$D:$G,4,FALSE),"")</f>
        <v/>
      </c>
      <c r="AA25" s="10" t="str">
        <f>IF(COUNTIF('Round 4'!$D:$D,C25)=1,VLOOKUP(C25,'Round 4'!$D:$G,4,FALSE),"")</f>
        <v/>
      </c>
      <c r="AC25">
        <f>G4</f>
        <v>5</v>
      </c>
      <c r="AD25" s="9" t="str">
        <f>IF(C25="","",IF(COUNTIF('Round 1'!$D:$D,C25)=1,IF(VLOOKUP(C25,'Round 1'!$D:$Q,14,FALSE)="",0,IF(AC25&gt;=1,(VLOOKUP(C25,'Round 1'!$D:$Q,14,FALSE)*10000)+VLOOKUP(C25,'Round 1'!$D:$K,8,FALSE),0)),0))</f>
        <v/>
      </c>
      <c r="AE25" s="1" t="str">
        <f>IF(C25="","",IF(COUNTIF('Round 2'!$D:$D,C25)=1,IF(VLOOKUP(C25,'Round 2'!$D:$Q,14,FALSE)="",0,IF(AC25&gt;=2,(VLOOKUP(C25,'Round 2'!$D:$Q,14,FALSE)*10000)+VLOOKUP(C25,'Round 2'!$D:$K,8,FALSE),0)),0))</f>
        <v/>
      </c>
      <c r="AF25" s="1" t="str">
        <f>IF(C25="","",IF(COUNTIF('Round 3'!$D:$D,C25)=1,IF(VLOOKUP(C25,'Round 3'!$D:$Q,14,FALSE)="",0,IF(AC25&gt;=3,(VLOOKUP(C25,'Round 3'!$D:$Q,14,FALSE)*10000)+VLOOKUP(C25,'Round 3'!$D:$K,8,FALSE),0)),0))</f>
        <v/>
      </c>
      <c r="AG25" s="1" t="str">
        <f>IF(C25="","",IF(COUNTIF('Round 4'!$D:$D,C25)=1,IF(VLOOKUP(C25,'Round 4'!$D:$Q,14,FALSE)="",0,IF(AC25&gt;=4,(VLOOKUP(C25,'Round 4'!$D:$Q,14,FALSE)*10000)+VLOOKUP(C25,'Round 4'!$D:$K,8,FALSE),0)),0))</f>
        <v/>
      </c>
      <c r="AH25" s="30" t="str">
        <f>IF(C25="","",IF(COUNTIF('Round 5'!$D:$D,C25)=1,IF(VLOOKUP(C25,'Round 5'!$D:$Q,14,FALSE)="",0,IF(AC25&gt;=5,(VLOOKUP(C25,'Round 5'!$D:$Q,14,FALSE)*10000)+VLOOKUP(C25,'Round 5'!$D:$K,8,FALSE),0)),0))</f>
        <v/>
      </c>
      <c r="AI25" s="58" t="str">
        <f t="shared" si="1"/>
        <v/>
      </c>
      <c r="AJ25" s="59" t="str">
        <f t="shared" si="2"/>
        <v/>
      </c>
    </row>
    <row r="26" spans="2:36" ht="15" thickBot="1" x14ac:dyDescent="0.35">
      <c r="B26" s="54" t="str">
        <f t="shared" si="3"/>
        <v/>
      </c>
      <c r="C26" s="9" t="str">
        <f t="shared" si="0"/>
        <v/>
      </c>
      <c r="D26" s="70"/>
      <c r="E26" s="71"/>
      <c r="F26" s="70"/>
      <c r="G26" s="72"/>
      <c r="H26" s="73"/>
      <c r="I26" s="64">
        <f t="array" ref="I26">IF(H26&lt;&gt;"UCM",0,IF(AI26=LARGE(IF($H:$H="UCM",$AI:$AI,""),1),1,0))</f>
        <v>0</v>
      </c>
      <c r="J26" s="64">
        <f t="array" ref="J26">IF(H26&lt;&gt;"Scourge",0,IF(AI26=LARGE(IF($H:$H="Scourge",$AI:$AI,""),1),1,0))</f>
        <v>0</v>
      </c>
      <c r="K26" s="64">
        <f t="array" ref="K26">IF(H26&lt;&gt;"PHR",0,IF(AI26=LARGE(IF($H:$H="PHR",$AI:$AI,""),1),1,0))</f>
        <v>0</v>
      </c>
      <c r="L26" s="64">
        <f t="array" ref="L26">IF(H26&lt;&gt;"Shaltari",0,IF(AI26=LARGE(IF($H:$H="Shaltari",$AI:$AI,""),1),1,0))</f>
        <v>0</v>
      </c>
      <c r="M26" s="64">
        <f t="array" ref="M26">IF(H26&lt;&gt;"Resistance",0,IF(AI26=LARGE(IF($H:$H="Resistance",$AI:$AI,""),1),1,0))</f>
        <v>0</v>
      </c>
      <c r="N26" s="64">
        <f t="shared" si="4"/>
        <v>0</v>
      </c>
      <c r="O26" s="35"/>
      <c r="P26" s="64" t="str">
        <f t="shared" si="5"/>
        <v/>
      </c>
      <c r="Q26" s="79"/>
      <c r="R26" s="64">
        <f t="array" ref="R26">IF(Q26="",0,IF(COUNTIF(G:G,Q26)&gt;=1,LARGE(IF($G:$G=Q26,$AI:$AI),1),0))</f>
        <v>0</v>
      </c>
      <c r="S26" s="64">
        <f t="array" ref="S26">IF(Q26="",0,IF(COUNTIF(G:G,Q26)&gt;=2,LARGE(IF($G:$G=Q26,$AI:$AI),2),0))</f>
        <v>0</v>
      </c>
      <c r="T26" s="64">
        <f t="array" ref="T26">IF(Q26="",0,IF(COUNTIF(G:G,Q26)&gt;=3,LARGE(IF($G:$G=Q26,$AI:$AI),3),0))</f>
        <v>0</v>
      </c>
      <c r="U26" s="64">
        <f t="shared" si="6"/>
        <v>0</v>
      </c>
      <c r="V26">
        <v>20</v>
      </c>
      <c r="X26" s="9" t="str">
        <f>VLOOKUP(C26,'Round 1'!$D:$G,4,FALSE)</f>
        <v/>
      </c>
      <c r="Y26" s="1" t="str">
        <f>IF(COUNTIF('Round 2'!$D:$D,C26)=1,VLOOKUP(C26,'Round 2'!$D:$G,4,FALSE),"")</f>
        <v/>
      </c>
      <c r="Z26" s="1" t="str">
        <f>IF(COUNTIF('Round 3'!$D:$D,C26)=1,VLOOKUP(C26,'Round 3'!$D:$G,4,FALSE),"")</f>
        <v/>
      </c>
      <c r="AA26" s="10" t="str">
        <f>IF(COUNTIF('Round 4'!$D:$D,C26)=1,VLOOKUP(C26,'Round 4'!$D:$G,4,FALSE),"")</f>
        <v/>
      </c>
      <c r="AC26">
        <f>G4</f>
        <v>5</v>
      </c>
      <c r="AD26" s="9" t="str">
        <f>IF(C26="","",IF(COUNTIF('Round 1'!$D:$D,C26)=1,IF(VLOOKUP(C26,'Round 1'!$D:$Q,14,FALSE)="",0,IF(AC26&gt;=1,(VLOOKUP(C26,'Round 1'!$D:$Q,14,FALSE)*10000)+VLOOKUP(C26,'Round 1'!$D:$K,8,FALSE),0)),0))</f>
        <v/>
      </c>
      <c r="AE26" s="1" t="str">
        <f>IF(C26="","",IF(COUNTIF('Round 2'!$D:$D,C26)=1,IF(VLOOKUP(C26,'Round 2'!$D:$Q,14,FALSE)="",0,IF(AC26&gt;=2,(VLOOKUP(C26,'Round 2'!$D:$Q,14,FALSE)*10000)+VLOOKUP(C26,'Round 2'!$D:$K,8,FALSE),0)),0))</f>
        <v/>
      </c>
      <c r="AF26" s="1" t="str">
        <f>IF(C26="","",IF(COUNTIF('Round 3'!$D:$D,C26)=1,IF(VLOOKUP(C26,'Round 3'!$D:$Q,14,FALSE)="",0,IF(AC26&gt;=3,(VLOOKUP(C26,'Round 3'!$D:$Q,14,FALSE)*10000)+VLOOKUP(C26,'Round 3'!$D:$K,8,FALSE),0)),0))</f>
        <v/>
      </c>
      <c r="AG26" s="1" t="str">
        <f>IF(C26="","",IF(COUNTIF('Round 4'!$D:$D,C26)=1,IF(VLOOKUP(C26,'Round 4'!$D:$Q,14,FALSE)="",0,IF(AC26&gt;=4,(VLOOKUP(C26,'Round 4'!$D:$Q,14,FALSE)*10000)+VLOOKUP(C26,'Round 4'!$D:$K,8,FALSE),0)),0))</f>
        <v/>
      </c>
      <c r="AH26" s="30" t="str">
        <f>IF(C26="","",IF(COUNTIF('Round 5'!$D:$D,C26)=1,IF(VLOOKUP(C26,'Round 5'!$D:$Q,14,FALSE)="",0,IF(AC26&gt;=5,(VLOOKUP(C26,'Round 5'!$D:$Q,14,FALSE)*10000)+VLOOKUP(C26,'Round 5'!$D:$K,8,FALSE),0)),0))</f>
        <v/>
      </c>
      <c r="AI26" s="58" t="str">
        <f t="shared" si="1"/>
        <v/>
      </c>
      <c r="AJ26" s="59" t="str">
        <f t="shared" si="2"/>
        <v/>
      </c>
    </row>
    <row r="27" spans="2:36" ht="15" thickBot="1" x14ac:dyDescent="0.35">
      <c r="B27" s="54" t="str">
        <f t="shared" si="3"/>
        <v/>
      </c>
      <c r="C27" s="9" t="str">
        <f t="shared" si="0"/>
        <v/>
      </c>
      <c r="D27" s="70"/>
      <c r="E27" s="71"/>
      <c r="F27" s="70"/>
      <c r="G27" s="72"/>
      <c r="H27" s="73"/>
      <c r="I27" s="64">
        <f t="array" ref="I27">IF(H27&lt;&gt;"UCM",0,IF(AI27=LARGE(IF($H:$H="UCM",$AI:$AI,""),1),1,0))</f>
        <v>0</v>
      </c>
      <c r="J27" s="64">
        <f t="array" ref="J27">IF(H27&lt;&gt;"Scourge",0,IF(AI27=LARGE(IF($H:$H="Scourge",$AI:$AI,""),1),1,0))</f>
        <v>0</v>
      </c>
      <c r="K27" s="64">
        <f t="array" ref="K27">IF(H27&lt;&gt;"PHR",0,IF(AI27=LARGE(IF($H:$H="PHR",$AI:$AI,""),1),1,0))</f>
        <v>0</v>
      </c>
      <c r="L27" s="64">
        <f t="array" ref="L27">IF(H27&lt;&gt;"Shaltari",0,IF(AI27=LARGE(IF($H:$H="Shaltari",$AI:$AI,""),1),1,0))</f>
        <v>0</v>
      </c>
      <c r="M27" s="64">
        <f t="array" ref="M27">IF(H27&lt;&gt;"Resistance",0,IF(AI27=LARGE(IF($H:$H="Resistance",$AI:$AI,""),1),1,0))</f>
        <v>0</v>
      </c>
      <c r="N27" s="64">
        <f t="shared" si="4"/>
        <v>0</v>
      </c>
      <c r="O27" s="35"/>
      <c r="P27" s="64" t="str">
        <f t="shared" si="5"/>
        <v/>
      </c>
      <c r="Q27" s="79"/>
      <c r="R27" s="64">
        <f t="array" ref="R27">IF(Q27="",0,IF(COUNTIF(G:G,Q27)&gt;=1,LARGE(IF($G:$G=Q27,$AI:$AI),1),0))</f>
        <v>0</v>
      </c>
      <c r="S27" s="64">
        <f t="array" ref="S27">IF(Q27="",0,IF(COUNTIF(G:G,Q27)&gt;=2,LARGE(IF($G:$G=Q27,$AI:$AI),2),0))</f>
        <v>0</v>
      </c>
      <c r="T27" s="64">
        <f t="array" ref="T27">IF(Q27="",0,IF(COUNTIF(G:G,Q27)&gt;=3,LARGE(IF($G:$G=Q27,$AI:$AI),3),0))</f>
        <v>0</v>
      </c>
      <c r="U27" s="64">
        <f t="shared" si="6"/>
        <v>0</v>
      </c>
      <c r="V27">
        <v>21</v>
      </c>
      <c r="X27" s="9" t="str">
        <f>VLOOKUP(C27,'Round 1'!$D:$G,4,FALSE)</f>
        <v/>
      </c>
      <c r="Y27" s="1" t="str">
        <f>IF(COUNTIF('Round 2'!$D:$D,C27)=1,VLOOKUP(C27,'Round 2'!$D:$G,4,FALSE),"")</f>
        <v/>
      </c>
      <c r="Z27" s="1" t="str">
        <f>IF(COUNTIF('Round 3'!$D:$D,C27)=1,VLOOKUP(C27,'Round 3'!$D:$G,4,FALSE),"")</f>
        <v/>
      </c>
      <c r="AA27" s="10" t="str">
        <f>IF(COUNTIF('Round 4'!$D:$D,C27)=1,VLOOKUP(C27,'Round 4'!$D:$G,4,FALSE),"")</f>
        <v/>
      </c>
      <c r="AC27">
        <f>G4</f>
        <v>5</v>
      </c>
      <c r="AD27" s="9" t="str">
        <f>IF(C27="","",IF(COUNTIF('Round 1'!$D:$D,C27)=1,IF(VLOOKUP(C27,'Round 1'!$D:$Q,14,FALSE)="",0,IF(AC27&gt;=1,(VLOOKUP(C27,'Round 1'!$D:$Q,14,FALSE)*10000)+VLOOKUP(C27,'Round 1'!$D:$K,8,FALSE),0)),0))</f>
        <v/>
      </c>
      <c r="AE27" s="1" t="str">
        <f>IF(C27="","",IF(COUNTIF('Round 2'!$D:$D,C27)=1,IF(VLOOKUP(C27,'Round 2'!$D:$Q,14,FALSE)="",0,IF(AC27&gt;=2,(VLOOKUP(C27,'Round 2'!$D:$Q,14,FALSE)*10000)+VLOOKUP(C27,'Round 2'!$D:$K,8,FALSE),0)),0))</f>
        <v/>
      </c>
      <c r="AF27" s="1" t="str">
        <f>IF(C27="","",IF(COUNTIF('Round 3'!$D:$D,C27)=1,IF(VLOOKUP(C27,'Round 3'!$D:$Q,14,FALSE)="",0,IF(AC27&gt;=3,(VLOOKUP(C27,'Round 3'!$D:$Q,14,FALSE)*10000)+VLOOKUP(C27,'Round 3'!$D:$K,8,FALSE),0)),0))</f>
        <v/>
      </c>
      <c r="AG27" s="1" t="str">
        <f>IF(C27="","",IF(COUNTIF('Round 4'!$D:$D,C27)=1,IF(VLOOKUP(C27,'Round 4'!$D:$Q,14,FALSE)="",0,IF(AC27&gt;=4,(VLOOKUP(C27,'Round 4'!$D:$Q,14,FALSE)*10000)+VLOOKUP(C27,'Round 4'!$D:$K,8,FALSE),0)),0))</f>
        <v/>
      </c>
      <c r="AH27" s="30" t="str">
        <f>IF(C27="","",IF(COUNTIF('Round 5'!$D:$D,C27)=1,IF(VLOOKUP(C27,'Round 5'!$D:$Q,14,FALSE)="",0,IF(AC27&gt;=5,(VLOOKUP(C27,'Round 5'!$D:$Q,14,FALSE)*10000)+VLOOKUP(C27,'Round 5'!$D:$K,8,FALSE),0)),0))</f>
        <v/>
      </c>
      <c r="AI27" s="58" t="str">
        <f t="shared" si="1"/>
        <v/>
      </c>
      <c r="AJ27" s="59" t="str">
        <f t="shared" si="2"/>
        <v/>
      </c>
    </row>
    <row r="28" spans="2:36" ht="15" thickBot="1" x14ac:dyDescent="0.35">
      <c r="B28" s="54" t="str">
        <f t="shared" si="3"/>
        <v/>
      </c>
      <c r="C28" s="9" t="str">
        <f t="shared" si="0"/>
        <v/>
      </c>
      <c r="D28" s="70"/>
      <c r="E28" s="71"/>
      <c r="F28" s="70"/>
      <c r="G28" s="72"/>
      <c r="H28" s="73"/>
      <c r="I28" s="64">
        <f t="array" ref="I28">IF(H28&lt;&gt;"UCM",0,IF(AI28=LARGE(IF($H:$H="UCM",$AI:$AI,""),1),1,0))</f>
        <v>0</v>
      </c>
      <c r="J28" s="64">
        <f t="array" ref="J28">IF(H28&lt;&gt;"Scourge",0,IF(AI28=LARGE(IF($H:$H="Scourge",$AI:$AI,""),1),1,0))</f>
        <v>0</v>
      </c>
      <c r="K28" s="64">
        <f t="array" ref="K28">IF(H28&lt;&gt;"PHR",0,IF(AI28=LARGE(IF($H:$H="PHR",$AI:$AI,""),1),1,0))</f>
        <v>0</v>
      </c>
      <c r="L28" s="64">
        <f t="array" ref="L28">IF(H28&lt;&gt;"Shaltari",0,IF(AI28=LARGE(IF($H:$H="Shaltari",$AI:$AI,""),1),1,0))</f>
        <v>0</v>
      </c>
      <c r="M28" s="64">
        <f t="array" ref="M28">IF(H28&lt;&gt;"Resistance",0,IF(AI28=LARGE(IF($H:$H="Resistance",$AI:$AI,""),1),1,0))</f>
        <v>0</v>
      </c>
      <c r="N28" s="64">
        <f t="shared" si="4"/>
        <v>0</v>
      </c>
      <c r="O28" s="35"/>
      <c r="P28" s="64" t="str">
        <f t="shared" si="5"/>
        <v/>
      </c>
      <c r="Q28" s="79"/>
      <c r="R28" s="64">
        <f t="array" ref="R28">IF(Q28="",0,IF(COUNTIF(G:G,Q28)&gt;=1,LARGE(IF($G:$G=Q28,$AI:$AI),1),0))</f>
        <v>0</v>
      </c>
      <c r="S28" s="64">
        <f t="array" ref="S28">IF(Q28="",0,IF(COUNTIF(G:G,Q28)&gt;=2,LARGE(IF($G:$G=Q28,$AI:$AI),2),0))</f>
        <v>0</v>
      </c>
      <c r="T28" s="64">
        <f t="array" ref="T28">IF(Q28="",0,IF(COUNTIF(G:G,Q28)&gt;=3,LARGE(IF($G:$G=Q28,$AI:$AI),3),0))</f>
        <v>0</v>
      </c>
      <c r="U28" s="64">
        <f t="shared" si="6"/>
        <v>0</v>
      </c>
      <c r="V28">
        <v>22</v>
      </c>
      <c r="X28" s="9" t="str">
        <f>VLOOKUP(C28,'Round 1'!$D:$G,4,FALSE)</f>
        <v/>
      </c>
      <c r="Y28" s="1" t="str">
        <f>IF(COUNTIF('Round 2'!$D:$D,C28)=1,VLOOKUP(C28,'Round 2'!$D:$G,4,FALSE),"")</f>
        <v/>
      </c>
      <c r="Z28" s="1" t="str">
        <f>IF(COUNTIF('Round 3'!$D:$D,C28)=1,VLOOKUP(C28,'Round 3'!$D:$G,4,FALSE),"")</f>
        <v/>
      </c>
      <c r="AA28" s="10" t="str">
        <f>IF(COUNTIF('Round 4'!$D:$D,C28)=1,VLOOKUP(C28,'Round 4'!$D:$G,4,FALSE),"")</f>
        <v/>
      </c>
      <c r="AC28">
        <f>G4</f>
        <v>5</v>
      </c>
      <c r="AD28" s="9" t="str">
        <f>IF(C28="","",IF(COUNTIF('Round 1'!$D:$D,C28)=1,IF(VLOOKUP(C28,'Round 1'!$D:$Q,14,FALSE)="",0,IF(AC28&gt;=1,(VLOOKUP(C28,'Round 1'!$D:$Q,14,FALSE)*10000)+VLOOKUP(C28,'Round 1'!$D:$K,8,FALSE),0)),0))</f>
        <v/>
      </c>
      <c r="AE28" s="1" t="str">
        <f>IF(C28="","",IF(COUNTIF('Round 2'!$D:$D,C28)=1,IF(VLOOKUP(C28,'Round 2'!$D:$Q,14,FALSE)="",0,IF(AC28&gt;=2,(VLOOKUP(C28,'Round 2'!$D:$Q,14,FALSE)*10000)+VLOOKUP(C28,'Round 2'!$D:$K,8,FALSE),0)),0))</f>
        <v/>
      </c>
      <c r="AF28" s="1" t="str">
        <f>IF(C28="","",IF(COUNTIF('Round 3'!$D:$D,C28)=1,IF(VLOOKUP(C28,'Round 3'!$D:$Q,14,FALSE)="",0,IF(AC28&gt;=3,(VLOOKUP(C28,'Round 3'!$D:$Q,14,FALSE)*10000)+VLOOKUP(C28,'Round 3'!$D:$K,8,FALSE),0)),0))</f>
        <v/>
      </c>
      <c r="AG28" s="1" t="str">
        <f>IF(C28="","",IF(COUNTIF('Round 4'!$D:$D,C28)=1,IF(VLOOKUP(C28,'Round 4'!$D:$Q,14,FALSE)="",0,IF(AC28&gt;=4,(VLOOKUP(C28,'Round 4'!$D:$Q,14,FALSE)*10000)+VLOOKUP(C28,'Round 4'!$D:$K,8,FALSE),0)),0))</f>
        <v/>
      </c>
      <c r="AH28" s="30" t="str">
        <f>IF(C28="","",IF(COUNTIF('Round 5'!$D:$D,C28)=1,IF(VLOOKUP(C28,'Round 5'!$D:$Q,14,FALSE)="",0,IF(AC28&gt;=5,(VLOOKUP(C28,'Round 5'!$D:$Q,14,FALSE)*10000)+VLOOKUP(C28,'Round 5'!$D:$K,8,FALSE),0)),0))</f>
        <v/>
      </c>
      <c r="AI28" s="58" t="str">
        <f t="shared" si="1"/>
        <v/>
      </c>
      <c r="AJ28" s="59" t="str">
        <f t="shared" si="2"/>
        <v/>
      </c>
    </row>
    <row r="29" spans="2:36" ht="15" thickBot="1" x14ac:dyDescent="0.35">
      <c r="B29" s="54" t="str">
        <f t="shared" si="3"/>
        <v/>
      </c>
      <c r="C29" s="9" t="str">
        <f t="shared" si="0"/>
        <v/>
      </c>
      <c r="D29" s="70"/>
      <c r="E29" s="71"/>
      <c r="F29" s="70"/>
      <c r="G29" s="72"/>
      <c r="H29" s="73"/>
      <c r="I29" s="64">
        <f t="array" ref="I29">IF(H29&lt;&gt;"UCM",0,IF(AI29=LARGE(IF($H:$H="UCM",$AI:$AI,""),1),1,0))</f>
        <v>0</v>
      </c>
      <c r="J29" s="64">
        <f t="array" ref="J29">IF(H29&lt;&gt;"Scourge",0,IF(AI29=LARGE(IF($H:$H="Scourge",$AI:$AI,""),1),1,0))</f>
        <v>0</v>
      </c>
      <c r="K29" s="64">
        <f t="array" ref="K29">IF(H29&lt;&gt;"PHR",0,IF(AI29=LARGE(IF($H:$H="PHR",$AI:$AI,""),1),1,0))</f>
        <v>0</v>
      </c>
      <c r="L29" s="64">
        <f t="array" ref="L29">IF(H29&lt;&gt;"Shaltari",0,IF(AI29=LARGE(IF($H:$H="Shaltari",$AI:$AI,""),1),1,0))</f>
        <v>0</v>
      </c>
      <c r="M29" s="64">
        <f t="array" ref="M29">IF(H29&lt;&gt;"Resistance",0,IF(AI29=LARGE(IF($H:$H="Resistance",$AI:$AI,""),1),1,0))</f>
        <v>0</v>
      </c>
      <c r="N29" s="64">
        <f t="shared" si="4"/>
        <v>0</v>
      </c>
      <c r="O29" s="35"/>
      <c r="P29" s="64" t="str">
        <f t="shared" si="5"/>
        <v/>
      </c>
      <c r="Q29" s="79"/>
      <c r="R29" s="64">
        <f t="array" ref="R29">IF(Q29="",0,IF(COUNTIF(G:G,Q29)&gt;=1,LARGE(IF($G:$G=Q29,$AI:$AI),1),0))</f>
        <v>0</v>
      </c>
      <c r="S29" s="64">
        <f t="array" ref="S29">IF(Q29="",0,IF(COUNTIF(G:G,Q29)&gt;=2,LARGE(IF($G:$G=Q29,$AI:$AI),2),0))</f>
        <v>0</v>
      </c>
      <c r="T29" s="64">
        <f t="array" ref="T29">IF(Q29="",0,IF(COUNTIF(G:G,Q29)&gt;=3,LARGE(IF($G:$G=Q29,$AI:$AI),3),0))</f>
        <v>0</v>
      </c>
      <c r="U29" s="64">
        <f t="shared" si="6"/>
        <v>0</v>
      </c>
      <c r="V29">
        <v>23</v>
      </c>
      <c r="X29" s="9" t="str">
        <f>VLOOKUP(C29,'Round 1'!$D:$G,4,FALSE)</f>
        <v/>
      </c>
      <c r="Y29" s="1" t="str">
        <f>IF(COUNTIF('Round 2'!$D:$D,C29)=1,VLOOKUP(C29,'Round 2'!$D:$G,4,FALSE),"")</f>
        <v/>
      </c>
      <c r="Z29" s="1" t="str">
        <f>IF(COUNTIF('Round 3'!$D:$D,C29)=1,VLOOKUP(C29,'Round 3'!$D:$G,4,FALSE),"")</f>
        <v/>
      </c>
      <c r="AA29" s="10" t="str">
        <f>IF(COUNTIF('Round 4'!$D:$D,C29)=1,VLOOKUP(C29,'Round 4'!$D:$G,4,FALSE),"")</f>
        <v/>
      </c>
      <c r="AC29">
        <f>G4</f>
        <v>5</v>
      </c>
      <c r="AD29" s="9" t="str">
        <f>IF(C29="","",IF(COUNTIF('Round 1'!$D:$D,C29)=1,IF(VLOOKUP(C29,'Round 1'!$D:$Q,14,FALSE)="",0,IF(AC29&gt;=1,(VLOOKUP(C29,'Round 1'!$D:$Q,14,FALSE)*10000)+VLOOKUP(C29,'Round 1'!$D:$K,8,FALSE),0)),0))</f>
        <v/>
      </c>
      <c r="AE29" s="1" t="str">
        <f>IF(C29="","",IF(COUNTIF('Round 2'!$D:$D,C29)=1,IF(VLOOKUP(C29,'Round 2'!$D:$Q,14,FALSE)="",0,IF(AC29&gt;=2,(VLOOKUP(C29,'Round 2'!$D:$Q,14,FALSE)*10000)+VLOOKUP(C29,'Round 2'!$D:$K,8,FALSE),0)),0))</f>
        <v/>
      </c>
      <c r="AF29" s="1" t="str">
        <f>IF(C29="","",IF(COUNTIF('Round 3'!$D:$D,C29)=1,IF(VLOOKUP(C29,'Round 3'!$D:$Q,14,FALSE)="",0,IF(AC29&gt;=3,(VLOOKUP(C29,'Round 3'!$D:$Q,14,FALSE)*10000)+VLOOKUP(C29,'Round 3'!$D:$K,8,FALSE),0)),0))</f>
        <v/>
      </c>
      <c r="AG29" s="1" t="str">
        <f>IF(C29="","",IF(COUNTIF('Round 4'!$D:$D,C29)=1,IF(VLOOKUP(C29,'Round 4'!$D:$Q,14,FALSE)="",0,IF(AC29&gt;=4,(VLOOKUP(C29,'Round 4'!$D:$Q,14,FALSE)*10000)+VLOOKUP(C29,'Round 4'!$D:$K,8,FALSE),0)),0))</f>
        <v/>
      </c>
      <c r="AH29" s="30" t="str">
        <f>IF(C29="","",IF(COUNTIF('Round 5'!$D:$D,C29)=1,IF(VLOOKUP(C29,'Round 5'!$D:$Q,14,FALSE)="",0,IF(AC29&gt;=5,(VLOOKUP(C29,'Round 5'!$D:$Q,14,FALSE)*10000)+VLOOKUP(C29,'Round 5'!$D:$K,8,FALSE),0)),0))</f>
        <v/>
      </c>
      <c r="AI29" s="58" t="str">
        <f t="shared" si="1"/>
        <v/>
      </c>
      <c r="AJ29" s="59" t="str">
        <f t="shared" si="2"/>
        <v/>
      </c>
    </row>
    <row r="30" spans="2:36" ht="15" thickBot="1" x14ac:dyDescent="0.35">
      <c r="B30" s="54" t="str">
        <f t="shared" si="3"/>
        <v/>
      </c>
      <c r="C30" s="9" t="str">
        <f t="shared" si="0"/>
        <v/>
      </c>
      <c r="D30" s="70"/>
      <c r="E30" s="71"/>
      <c r="F30" s="70"/>
      <c r="G30" s="72"/>
      <c r="H30" s="73"/>
      <c r="I30" s="64">
        <f t="array" ref="I30">IF(H30&lt;&gt;"UCM",0,IF(AI30=LARGE(IF($H:$H="UCM",$AI:$AI,""),1),1,0))</f>
        <v>0</v>
      </c>
      <c r="J30" s="64">
        <f t="array" ref="J30">IF(H30&lt;&gt;"Scourge",0,IF(AI30=LARGE(IF($H:$H="Scourge",$AI:$AI,""),1),1,0))</f>
        <v>0</v>
      </c>
      <c r="K30" s="64">
        <f t="array" ref="K30">IF(H30&lt;&gt;"PHR",0,IF(AI30=LARGE(IF($H:$H="PHR",$AI:$AI,""),1),1,0))</f>
        <v>0</v>
      </c>
      <c r="L30" s="64">
        <f t="array" ref="L30">IF(H30&lt;&gt;"Shaltari",0,IF(AI30=LARGE(IF($H:$H="Shaltari",$AI:$AI,""),1),1,0))</f>
        <v>0</v>
      </c>
      <c r="M30" s="64">
        <f t="array" ref="M30">IF(H30&lt;&gt;"Resistance",0,IF(AI30=LARGE(IF($H:$H="Resistance",$AI:$AI,""),1),1,0))</f>
        <v>0</v>
      </c>
      <c r="N30" s="64">
        <f t="shared" si="4"/>
        <v>0</v>
      </c>
      <c r="O30" s="35"/>
      <c r="P30" s="64" t="str">
        <f t="shared" si="5"/>
        <v/>
      </c>
      <c r="Q30" s="79"/>
      <c r="R30" s="64">
        <f t="array" ref="R30">IF(Q30="",0,IF(COUNTIF(G:G,Q30)&gt;=1,LARGE(IF($G:$G=Q30,$AI:$AI),1),0))</f>
        <v>0</v>
      </c>
      <c r="S30" s="64">
        <f t="array" ref="S30">IF(Q30="",0,IF(COUNTIF(G:G,Q30)&gt;=2,LARGE(IF($G:$G=Q30,$AI:$AI),2),0))</f>
        <v>0</v>
      </c>
      <c r="T30" s="64">
        <f t="array" ref="T30">IF(Q30="",0,IF(COUNTIF(G:G,Q30)&gt;=3,LARGE(IF($G:$G=Q30,$AI:$AI),3),0))</f>
        <v>0</v>
      </c>
      <c r="U30" s="64">
        <f t="shared" si="6"/>
        <v>0</v>
      </c>
      <c r="V30">
        <v>24</v>
      </c>
      <c r="X30" s="9" t="str">
        <f>VLOOKUP(C30,'Round 1'!$D:$G,4,FALSE)</f>
        <v/>
      </c>
      <c r="Y30" s="1" t="str">
        <f>IF(COUNTIF('Round 2'!$D:$D,C30)=1,VLOOKUP(C30,'Round 2'!$D:$G,4,FALSE),"")</f>
        <v/>
      </c>
      <c r="Z30" s="1" t="str">
        <f>IF(COUNTIF('Round 3'!$D:$D,C30)=1,VLOOKUP(C30,'Round 3'!$D:$G,4,FALSE),"")</f>
        <v/>
      </c>
      <c r="AA30" s="10" t="str">
        <f>IF(COUNTIF('Round 4'!$D:$D,C30)=1,VLOOKUP(C30,'Round 4'!$D:$G,4,FALSE),"")</f>
        <v/>
      </c>
      <c r="AC30">
        <f>G4</f>
        <v>5</v>
      </c>
      <c r="AD30" s="9" t="str">
        <f>IF(C30="","",IF(COUNTIF('Round 1'!$D:$D,C30)=1,IF(VLOOKUP(C30,'Round 1'!$D:$Q,14,FALSE)="",0,IF(AC30&gt;=1,(VLOOKUP(C30,'Round 1'!$D:$Q,14,FALSE)*10000)+VLOOKUP(C30,'Round 1'!$D:$K,8,FALSE),0)),0))</f>
        <v/>
      </c>
      <c r="AE30" s="1" t="str">
        <f>IF(C30="","",IF(COUNTIF('Round 2'!$D:$D,C30)=1,IF(VLOOKUP(C30,'Round 2'!$D:$Q,14,FALSE)="",0,IF(AC30&gt;=2,(VLOOKUP(C30,'Round 2'!$D:$Q,14,FALSE)*10000)+VLOOKUP(C30,'Round 2'!$D:$K,8,FALSE),0)),0))</f>
        <v/>
      </c>
      <c r="AF30" s="1" t="str">
        <f>IF(C30="","",IF(COUNTIF('Round 3'!$D:$D,C30)=1,IF(VLOOKUP(C30,'Round 3'!$D:$Q,14,FALSE)="",0,IF(AC30&gt;=3,(VLOOKUP(C30,'Round 3'!$D:$Q,14,FALSE)*10000)+VLOOKUP(C30,'Round 3'!$D:$K,8,FALSE),0)),0))</f>
        <v/>
      </c>
      <c r="AG30" s="1" t="str">
        <f>IF(C30="","",IF(COUNTIF('Round 4'!$D:$D,C30)=1,IF(VLOOKUP(C30,'Round 4'!$D:$Q,14,FALSE)="",0,IF(AC30&gt;=4,(VLOOKUP(C30,'Round 4'!$D:$Q,14,FALSE)*10000)+VLOOKUP(C30,'Round 4'!$D:$K,8,FALSE),0)),0))</f>
        <v/>
      </c>
      <c r="AH30" s="30" t="str">
        <f>IF(C30="","",IF(COUNTIF('Round 5'!$D:$D,C30)=1,IF(VLOOKUP(C30,'Round 5'!$D:$Q,14,FALSE)="",0,IF(AC30&gt;=5,(VLOOKUP(C30,'Round 5'!$D:$Q,14,FALSE)*10000)+VLOOKUP(C30,'Round 5'!$D:$K,8,FALSE),0)),0))</f>
        <v/>
      </c>
      <c r="AI30" s="58" t="str">
        <f t="shared" si="1"/>
        <v/>
      </c>
      <c r="AJ30" s="59" t="str">
        <f t="shared" si="2"/>
        <v/>
      </c>
    </row>
    <row r="31" spans="2:36" ht="15" thickBot="1" x14ac:dyDescent="0.35">
      <c r="B31" s="54" t="str">
        <f t="shared" si="3"/>
        <v/>
      </c>
      <c r="C31" s="9" t="str">
        <f t="shared" si="0"/>
        <v/>
      </c>
      <c r="D31" s="70"/>
      <c r="E31" s="71"/>
      <c r="F31" s="70"/>
      <c r="G31" s="72"/>
      <c r="H31" s="73"/>
      <c r="I31" s="64">
        <f t="array" ref="I31">IF(H31&lt;&gt;"UCM",0,IF(AI31=LARGE(IF($H:$H="UCM",$AI:$AI,""),1),1,0))</f>
        <v>0</v>
      </c>
      <c r="J31" s="64">
        <f t="array" ref="J31">IF(H31&lt;&gt;"Scourge",0,IF(AI31=LARGE(IF($H:$H="Scourge",$AI:$AI,""),1),1,0))</f>
        <v>0</v>
      </c>
      <c r="K31" s="64">
        <f t="array" ref="K31">IF(H31&lt;&gt;"PHR",0,IF(AI31=LARGE(IF($H:$H="PHR",$AI:$AI,""),1),1,0))</f>
        <v>0</v>
      </c>
      <c r="L31" s="64">
        <f t="array" ref="L31">IF(H31&lt;&gt;"Shaltari",0,IF(AI31=LARGE(IF($H:$H="Shaltari",$AI:$AI,""),1),1,0))</f>
        <v>0</v>
      </c>
      <c r="M31" s="64">
        <f t="array" ref="M31">IF(H31&lt;&gt;"Resistance",0,IF(AI31=LARGE(IF($H:$H="Resistance",$AI:$AI,""),1),1,0))</f>
        <v>0</v>
      </c>
      <c r="N31" s="64">
        <f t="shared" si="4"/>
        <v>0</v>
      </c>
      <c r="O31" s="35"/>
      <c r="P31" s="64" t="str">
        <f t="shared" si="5"/>
        <v/>
      </c>
      <c r="Q31" s="79"/>
      <c r="R31" s="64">
        <f t="array" ref="R31">IF(Q31="",0,IF(COUNTIF(G:G,Q31)&gt;=1,LARGE(IF($G:$G=Q31,$AI:$AI),1),0))</f>
        <v>0</v>
      </c>
      <c r="S31" s="64">
        <f t="array" ref="S31">IF(Q31="",0,IF(COUNTIF(G:G,Q31)&gt;=2,LARGE(IF($G:$G=Q31,$AI:$AI),2),0))</f>
        <v>0</v>
      </c>
      <c r="T31" s="64">
        <f t="array" ref="T31">IF(Q31="",0,IF(COUNTIF(G:G,Q31)&gt;=3,LARGE(IF($G:$G=Q31,$AI:$AI),3),0))</f>
        <v>0</v>
      </c>
      <c r="U31" s="64">
        <f t="shared" si="6"/>
        <v>0</v>
      </c>
      <c r="V31">
        <v>25</v>
      </c>
      <c r="X31" s="9" t="str">
        <f>VLOOKUP(C31,'Round 1'!$D:$G,4,FALSE)</f>
        <v/>
      </c>
      <c r="Y31" s="1" t="str">
        <f>IF(COUNTIF('Round 2'!$D:$D,C31)=1,VLOOKUP(C31,'Round 2'!$D:$G,4,FALSE),"")</f>
        <v/>
      </c>
      <c r="Z31" s="1" t="str">
        <f>IF(COUNTIF('Round 3'!$D:$D,C31)=1,VLOOKUP(C31,'Round 3'!$D:$G,4,FALSE),"")</f>
        <v/>
      </c>
      <c r="AA31" s="10" t="str">
        <f>IF(COUNTIF('Round 4'!$D:$D,C31)=1,VLOOKUP(C31,'Round 4'!$D:$G,4,FALSE),"")</f>
        <v/>
      </c>
      <c r="AC31">
        <f>G4</f>
        <v>5</v>
      </c>
      <c r="AD31" s="9" t="str">
        <f>IF(C31="","",IF(COUNTIF('Round 1'!$D:$D,C31)=1,IF(VLOOKUP(C31,'Round 1'!$D:$Q,14,FALSE)="",0,IF(AC31&gt;=1,(VLOOKUP(C31,'Round 1'!$D:$Q,14,FALSE)*10000)+VLOOKUP(C31,'Round 1'!$D:$K,8,FALSE),0)),0))</f>
        <v/>
      </c>
      <c r="AE31" s="1" t="str">
        <f>IF(C31="","",IF(COUNTIF('Round 2'!$D:$D,C31)=1,IF(VLOOKUP(C31,'Round 2'!$D:$Q,14,FALSE)="",0,IF(AC31&gt;=2,(VLOOKUP(C31,'Round 2'!$D:$Q,14,FALSE)*10000)+VLOOKUP(C31,'Round 2'!$D:$K,8,FALSE),0)),0))</f>
        <v/>
      </c>
      <c r="AF31" s="1" t="str">
        <f>IF(C31="","",IF(COUNTIF('Round 3'!$D:$D,C31)=1,IF(VLOOKUP(C31,'Round 3'!$D:$Q,14,FALSE)="",0,IF(AC31&gt;=3,(VLOOKUP(C31,'Round 3'!$D:$Q,14,FALSE)*10000)+VLOOKUP(C31,'Round 3'!$D:$K,8,FALSE),0)),0))</f>
        <v/>
      </c>
      <c r="AG31" s="1" t="str">
        <f>IF(C31="","",IF(COUNTIF('Round 4'!$D:$D,C31)=1,IF(VLOOKUP(C31,'Round 4'!$D:$Q,14,FALSE)="",0,IF(AC31&gt;=4,(VLOOKUP(C31,'Round 4'!$D:$Q,14,FALSE)*10000)+VLOOKUP(C31,'Round 4'!$D:$K,8,FALSE),0)),0))</f>
        <v/>
      </c>
      <c r="AH31" s="30" t="str">
        <f>IF(C31="","",IF(COUNTIF('Round 5'!$D:$D,C31)=1,IF(VLOOKUP(C31,'Round 5'!$D:$Q,14,FALSE)="",0,IF(AC31&gt;=5,(VLOOKUP(C31,'Round 5'!$D:$Q,14,FALSE)*10000)+VLOOKUP(C31,'Round 5'!$D:$K,8,FALSE),0)),0))</f>
        <v/>
      </c>
      <c r="AI31" s="58" t="str">
        <f t="shared" si="1"/>
        <v/>
      </c>
      <c r="AJ31" s="59" t="str">
        <f t="shared" si="2"/>
        <v/>
      </c>
    </row>
    <row r="32" spans="2:36" ht="15" thickBot="1" x14ac:dyDescent="0.35">
      <c r="B32" s="54" t="str">
        <f t="shared" si="3"/>
        <v/>
      </c>
      <c r="C32" s="9" t="str">
        <f t="shared" si="0"/>
        <v/>
      </c>
      <c r="D32" s="70"/>
      <c r="E32" s="71"/>
      <c r="F32" s="70"/>
      <c r="G32" s="72"/>
      <c r="H32" s="73"/>
      <c r="I32" s="64">
        <f t="array" ref="I32">IF(H32&lt;&gt;"UCM",0,IF(AI32=LARGE(IF($H:$H="UCM",$AI:$AI,""),1),1,0))</f>
        <v>0</v>
      </c>
      <c r="J32" s="64">
        <f t="array" ref="J32">IF(H32&lt;&gt;"Scourge",0,IF(AI32=LARGE(IF($H:$H="Scourge",$AI:$AI,""),1),1,0))</f>
        <v>0</v>
      </c>
      <c r="K32" s="64">
        <f t="array" ref="K32">IF(H32&lt;&gt;"PHR",0,IF(AI32=LARGE(IF($H:$H="PHR",$AI:$AI,""),1),1,0))</f>
        <v>0</v>
      </c>
      <c r="L32" s="64">
        <f t="array" ref="L32">IF(H32&lt;&gt;"Shaltari",0,IF(AI32=LARGE(IF($H:$H="Shaltari",$AI:$AI,""),1),1,0))</f>
        <v>0</v>
      </c>
      <c r="M32" s="64">
        <f t="array" ref="M32">IF(H32&lt;&gt;"Resistance",0,IF(AI32=LARGE(IF($H:$H="Resistance",$AI:$AI,""),1),1,0))</f>
        <v>0</v>
      </c>
      <c r="N32" s="64">
        <f t="shared" si="4"/>
        <v>0</v>
      </c>
      <c r="O32" s="35"/>
      <c r="P32" s="64" t="str">
        <f t="shared" si="5"/>
        <v/>
      </c>
      <c r="Q32" s="79"/>
      <c r="R32" s="64">
        <f t="array" ref="R32">IF(Q32="",0,IF(COUNTIF(G:G,Q32)&gt;=1,LARGE(IF($G:$G=Q32,$AI:$AI),1),0))</f>
        <v>0</v>
      </c>
      <c r="S32" s="64">
        <f t="array" ref="S32">IF(Q32="",0,IF(COUNTIF(G:G,Q32)&gt;=2,LARGE(IF($G:$G=Q32,$AI:$AI),2),0))</f>
        <v>0</v>
      </c>
      <c r="T32" s="64">
        <f t="array" ref="T32">IF(Q32="",0,IF(COUNTIF(G:G,Q32)&gt;=3,LARGE(IF($G:$G=Q32,$AI:$AI),3),0))</f>
        <v>0</v>
      </c>
      <c r="U32" s="64">
        <f t="shared" si="6"/>
        <v>0</v>
      </c>
      <c r="V32">
        <v>26</v>
      </c>
      <c r="X32" s="9" t="str">
        <f>VLOOKUP(C32,'Round 1'!$D:$G,4,FALSE)</f>
        <v/>
      </c>
      <c r="Y32" s="1" t="str">
        <f>IF(COUNTIF('Round 2'!$D:$D,C32)=1,VLOOKUP(C32,'Round 2'!$D:$G,4,FALSE),"")</f>
        <v/>
      </c>
      <c r="Z32" s="1" t="str">
        <f>IF(COUNTIF('Round 3'!$D:$D,C32)=1,VLOOKUP(C32,'Round 3'!$D:$G,4,FALSE),"")</f>
        <v/>
      </c>
      <c r="AA32" s="10" t="str">
        <f>IF(COUNTIF('Round 4'!$D:$D,C32)=1,VLOOKUP(C32,'Round 4'!$D:$G,4,FALSE),"")</f>
        <v/>
      </c>
      <c r="AC32">
        <f>G4</f>
        <v>5</v>
      </c>
      <c r="AD32" s="9" t="str">
        <f>IF(C32="","",IF(COUNTIF('Round 1'!$D:$D,C32)=1,IF(VLOOKUP(C32,'Round 1'!$D:$Q,14,FALSE)="",0,IF(AC32&gt;=1,(VLOOKUP(C32,'Round 1'!$D:$Q,14,FALSE)*10000)+VLOOKUP(C32,'Round 1'!$D:$K,8,FALSE),0)),0))</f>
        <v/>
      </c>
      <c r="AE32" s="1" t="str">
        <f>IF(C32="","",IF(COUNTIF('Round 2'!$D:$D,C32)=1,IF(VLOOKUP(C32,'Round 2'!$D:$Q,14,FALSE)="",0,IF(AC32&gt;=2,(VLOOKUP(C32,'Round 2'!$D:$Q,14,FALSE)*10000)+VLOOKUP(C32,'Round 2'!$D:$K,8,FALSE),0)),0))</f>
        <v/>
      </c>
      <c r="AF32" s="1" t="str">
        <f>IF(C32="","",IF(COUNTIF('Round 3'!$D:$D,C32)=1,IF(VLOOKUP(C32,'Round 3'!$D:$Q,14,FALSE)="",0,IF(AC32&gt;=3,(VLOOKUP(C32,'Round 3'!$D:$Q,14,FALSE)*10000)+VLOOKUP(C32,'Round 3'!$D:$K,8,FALSE),0)),0))</f>
        <v/>
      </c>
      <c r="AG32" s="1" t="str">
        <f>IF(C32="","",IF(COUNTIF('Round 4'!$D:$D,C32)=1,IF(VLOOKUP(C32,'Round 4'!$D:$Q,14,FALSE)="",0,IF(AC32&gt;=4,(VLOOKUP(C32,'Round 4'!$D:$Q,14,FALSE)*10000)+VLOOKUP(C32,'Round 4'!$D:$K,8,FALSE),0)),0))</f>
        <v/>
      </c>
      <c r="AH32" s="30" t="str">
        <f>IF(C32="","",IF(COUNTIF('Round 5'!$D:$D,C32)=1,IF(VLOOKUP(C32,'Round 5'!$D:$Q,14,FALSE)="",0,IF(AC32&gt;=5,(VLOOKUP(C32,'Round 5'!$D:$Q,14,FALSE)*10000)+VLOOKUP(C32,'Round 5'!$D:$K,8,FALSE),0)),0))</f>
        <v/>
      </c>
      <c r="AI32" s="58" t="str">
        <f t="shared" si="1"/>
        <v/>
      </c>
      <c r="AJ32" s="59" t="str">
        <f t="shared" si="2"/>
        <v/>
      </c>
    </row>
    <row r="33" spans="2:36" ht="15" thickBot="1" x14ac:dyDescent="0.35">
      <c r="B33" s="54" t="str">
        <f t="shared" si="3"/>
        <v/>
      </c>
      <c r="C33" s="9" t="str">
        <f t="shared" si="0"/>
        <v/>
      </c>
      <c r="D33" s="70"/>
      <c r="E33" s="71"/>
      <c r="F33" s="70"/>
      <c r="G33" s="72"/>
      <c r="H33" s="73"/>
      <c r="I33" s="64">
        <f t="array" ref="I33">IF(H33&lt;&gt;"UCM",0,IF(AI33=LARGE(IF($H:$H="UCM",$AI:$AI,""),1),1,0))</f>
        <v>0</v>
      </c>
      <c r="J33" s="64">
        <f t="array" ref="J33">IF(H33&lt;&gt;"Scourge",0,IF(AI33=LARGE(IF($H:$H="Scourge",$AI:$AI,""),1),1,0))</f>
        <v>0</v>
      </c>
      <c r="K33" s="64">
        <f t="array" ref="K33">IF(H33&lt;&gt;"PHR",0,IF(AI33=LARGE(IF($H:$H="PHR",$AI:$AI,""),1),1,0))</f>
        <v>0</v>
      </c>
      <c r="L33" s="64">
        <f t="array" ref="L33">IF(H33&lt;&gt;"Shaltari",0,IF(AI33=LARGE(IF($H:$H="Shaltari",$AI:$AI,""),1),1,0))</f>
        <v>0</v>
      </c>
      <c r="M33" s="64">
        <f t="array" ref="M33">IF(H33&lt;&gt;"Resistance",0,IF(AI33=LARGE(IF($H:$H="Resistance",$AI:$AI,""),1),1,0))</f>
        <v>0</v>
      </c>
      <c r="N33" s="64">
        <f t="shared" si="4"/>
        <v>0</v>
      </c>
      <c r="O33" s="35"/>
      <c r="P33" s="64" t="str">
        <f t="shared" si="5"/>
        <v/>
      </c>
      <c r="Q33" s="79"/>
      <c r="R33" s="64">
        <f t="array" ref="R33">IF(Q33="",0,IF(COUNTIF(G:G,Q33)&gt;=1,LARGE(IF($G:$G=Q33,$AI:$AI),1),0))</f>
        <v>0</v>
      </c>
      <c r="S33" s="64">
        <f t="array" ref="S33">IF(Q33="",0,IF(COUNTIF(G:G,Q33)&gt;=2,LARGE(IF($G:$G=Q33,$AI:$AI),2),0))</f>
        <v>0</v>
      </c>
      <c r="T33" s="64">
        <f t="array" ref="T33">IF(Q33="",0,IF(COUNTIF(G:G,Q33)&gt;=3,LARGE(IF($G:$G=Q33,$AI:$AI),3),0))</f>
        <v>0</v>
      </c>
      <c r="U33" s="64">
        <f t="shared" si="6"/>
        <v>0</v>
      </c>
      <c r="V33">
        <v>27</v>
      </c>
      <c r="X33" s="9" t="str">
        <f>VLOOKUP(C33,'Round 1'!$D:$G,4,FALSE)</f>
        <v/>
      </c>
      <c r="Y33" s="1" t="str">
        <f>IF(COUNTIF('Round 2'!$D:$D,C33)=1,VLOOKUP(C33,'Round 2'!$D:$G,4,FALSE),"")</f>
        <v/>
      </c>
      <c r="Z33" s="1" t="str">
        <f>IF(COUNTIF('Round 3'!$D:$D,C33)=1,VLOOKUP(C33,'Round 3'!$D:$G,4,FALSE),"")</f>
        <v/>
      </c>
      <c r="AA33" s="10" t="str">
        <f>IF(COUNTIF('Round 4'!$D:$D,C33)=1,VLOOKUP(C33,'Round 4'!$D:$G,4,FALSE),"")</f>
        <v/>
      </c>
      <c r="AC33">
        <f>G4</f>
        <v>5</v>
      </c>
      <c r="AD33" s="9" t="str">
        <f>IF(C33="","",IF(COUNTIF('Round 1'!$D:$D,C33)=1,IF(VLOOKUP(C33,'Round 1'!$D:$Q,14,FALSE)="",0,IF(AC33&gt;=1,(VLOOKUP(C33,'Round 1'!$D:$Q,14,FALSE)*10000)+VLOOKUP(C33,'Round 1'!$D:$K,8,FALSE),0)),0))</f>
        <v/>
      </c>
      <c r="AE33" s="1" t="str">
        <f>IF(C33="","",IF(COUNTIF('Round 2'!$D:$D,C33)=1,IF(VLOOKUP(C33,'Round 2'!$D:$Q,14,FALSE)="",0,IF(AC33&gt;=2,(VLOOKUP(C33,'Round 2'!$D:$Q,14,FALSE)*10000)+VLOOKUP(C33,'Round 2'!$D:$K,8,FALSE),0)),0))</f>
        <v/>
      </c>
      <c r="AF33" s="1" t="str">
        <f>IF(C33="","",IF(COUNTIF('Round 3'!$D:$D,C33)=1,IF(VLOOKUP(C33,'Round 3'!$D:$Q,14,FALSE)="",0,IF(AC33&gt;=3,(VLOOKUP(C33,'Round 3'!$D:$Q,14,FALSE)*10000)+VLOOKUP(C33,'Round 3'!$D:$K,8,FALSE),0)),0))</f>
        <v/>
      </c>
      <c r="AG33" s="1" t="str">
        <f>IF(C33="","",IF(COUNTIF('Round 4'!$D:$D,C33)=1,IF(VLOOKUP(C33,'Round 4'!$D:$Q,14,FALSE)="",0,IF(AC33&gt;=4,(VLOOKUP(C33,'Round 4'!$D:$Q,14,FALSE)*10000)+VLOOKUP(C33,'Round 4'!$D:$K,8,FALSE),0)),0))</f>
        <v/>
      </c>
      <c r="AH33" s="30" t="str">
        <f>IF(C33="","",IF(COUNTIF('Round 5'!$D:$D,C33)=1,IF(VLOOKUP(C33,'Round 5'!$D:$Q,14,FALSE)="",0,IF(AC33&gt;=5,(VLOOKUP(C33,'Round 5'!$D:$Q,14,FALSE)*10000)+VLOOKUP(C33,'Round 5'!$D:$K,8,FALSE),0)),0))</f>
        <v/>
      </c>
      <c r="AI33" s="58" t="str">
        <f t="shared" si="1"/>
        <v/>
      </c>
      <c r="AJ33" s="59" t="str">
        <f t="shared" si="2"/>
        <v/>
      </c>
    </row>
    <row r="34" spans="2:36" ht="15" thickBot="1" x14ac:dyDescent="0.35">
      <c r="B34" s="54" t="str">
        <f t="shared" si="3"/>
        <v/>
      </c>
      <c r="C34" s="9" t="str">
        <f t="shared" si="0"/>
        <v/>
      </c>
      <c r="D34" s="70"/>
      <c r="E34" s="71"/>
      <c r="F34" s="70"/>
      <c r="G34" s="72"/>
      <c r="H34" s="73"/>
      <c r="I34" s="64">
        <f t="array" ref="I34">IF(H34&lt;&gt;"UCM",0,IF(AI34=LARGE(IF($H:$H="UCM",$AI:$AI,""),1),1,0))</f>
        <v>0</v>
      </c>
      <c r="J34" s="64">
        <f t="array" ref="J34">IF(H34&lt;&gt;"Scourge",0,IF(AI34=LARGE(IF($H:$H="Scourge",$AI:$AI,""),1),1,0))</f>
        <v>0</v>
      </c>
      <c r="K34" s="64">
        <f t="array" ref="K34">IF(H34&lt;&gt;"PHR",0,IF(AI34=LARGE(IF($H:$H="PHR",$AI:$AI,""),1),1,0))</f>
        <v>0</v>
      </c>
      <c r="L34" s="64">
        <f t="array" ref="L34">IF(H34&lt;&gt;"Shaltari",0,IF(AI34=LARGE(IF($H:$H="Shaltari",$AI:$AI,""),1),1,0))</f>
        <v>0</v>
      </c>
      <c r="M34" s="64">
        <f t="array" ref="M34">IF(H34&lt;&gt;"Resistance",0,IF(AI34=LARGE(IF($H:$H="Resistance",$AI:$AI,""),1),1,0))</f>
        <v>0</v>
      </c>
      <c r="N34" s="64">
        <f t="shared" si="4"/>
        <v>0</v>
      </c>
      <c r="O34" s="35"/>
      <c r="P34" s="64" t="str">
        <f t="shared" si="5"/>
        <v/>
      </c>
      <c r="Q34" s="79"/>
      <c r="R34" s="64">
        <f t="array" ref="R34">IF(Q34="",0,IF(COUNTIF(G:G,Q34)&gt;=1,LARGE(IF($G:$G=Q34,$AI:$AI),1),0))</f>
        <v>0</v>
      </c>
      <c r="S34" s="64">
        <f t="array" ref="S34">IF(Q34="",0,IF(COUNTIF(G:G,Q34)&gt;=2,LARGE(IF($G:$G=Q34,$AI:$AI),2),0))</f>
        <v>0</v>
      </c>
      <c r="T34" s="64">
        <f t="array" ref="T34">IF(Q34="",0,IF(COUNTIF(G:G,Q34)&gt;=3,LARGE(IF($G:$G=Q34,$AI:$AI),3),0))</f>
        <v>0</v>
      </c>
      <c r="U34" s="64">
        <f t="shared" si="6"/>
        <v>0</v>
      </c>
      <c r="V34">
        <v>28</v>
      </c>
      <c r="X34" s="9" t="str">
        <f>VLOOKUP(C34,'Round 1'!$D:$G,4,FALSE)</f>
        <v/>
      </c>
      <c r="Y34" s="1" t="str">
        <f>IF(COUNTIF('Round 2'!$D:$D,C34)=1,VLOOKUP(C34,'Round 2'!$D:$G,4,FALSE),"")</f>
        <v/>
      </c>
      <c r="Z34" s="1" t="str">
        <f>IF(COUNTIF('Round 3'!$D:$D,C34)=1,VLOOKUP(C34,'Round 3'!$D:$G,4,FALSE),"")</f>
        <v/>
      </c>
      <c r="AA34" s="10" t="str">
        <f>IF(COUNTIF('Round 4'!$D:$D,C34)=1,VLOOKUP(C34,'Round 4'!$D:$G,4,FALSE),"")</f>
        <v/>
      </c>
      <c r="AC34">
        <f>G4</f>
        <v>5</v>
      </c>
      <c r="AD34" s="9" t="str">
        <f>IF(C34="","",IF(COUNTIF('Round 1'!$D:$D,C34)=1,IF(VLOOKUP(C34,'Round 1'!$D:$Q,14,FALSE)="",0,IF(AC34&gt;=1,(VLOOKUP(C34,'Round 1'!$D:$Q,14,FALSE)*10000)+VLOOKUP(C34,'Round 1'!$D:$K,8,FALSE),0)),0))</f>
        <v/>
      </c>
      <c r="AE34" s="1" t="str">
        <f>IF(C34="","",IF(COUNTIF('Round 2'!$D:$D,C34)=1,IF(VLOOKUP(C34,'Round 2'!$D:$Q,14,FALSE)="",0,IF(AC34&gt;=2,(VLOOKUP(C34,'Round 2'!$D:$Q,14,FALSE)*10000)+VLOOKUP(C34,'Round 2'!$D:$K,8,FALSE),0)),0))</f>
        <v/>
      </c>
      <c r="AF34" s="1" t="str">
        <f>IF(C34="","",IF(COUNTIF('Round 3'!$D:$D,C34)=1,IF(VLOOKUP(C34,'Round 3'!$D:$Q,14,FALSE)="",0,IF(AC34&gt;=3,(VLOOKUP(C34,'Round 3'!$D:$Q,14,FALSE)*10000)+VLOOKUP(C34,'Round 3'!$D:$K,8,FALSE),0)),0))</f>
        <v/>
      </c>
      <c r="AG34" s="1" t="str">
        <f>IF(C34="","",IF(COUNTIF('Round 4'!$D:$D,C34)=1,IF(VLOOKUP(C34,'Round 4'!$D:$Q,14,FALSE)="",0,IF(AC34&gt;=4,(VLOOKUP(C34,'Round 4'!$D:$Q,14,FALSE)*10000)+VLOOKUP(C34,'Round 4'!$D:$K,8,FALSE),0)),0))</f>
        <v/>
      </c>
      <c r="AH34" s="30" t="str">
        <f>IF(C34="","",IF(COUNTIF('Round 5'!$D:$D,C34)=1,IF(VLOOKUP(C34,'Round 5'!$D:$Q,14,FALSE)="",0,IF(AC34&gt;=5,(VLOOKUP(C34,'Round 5'!$D:$Q,14,FALSE)*10000)+VLOOKUP(C34,'Round 5'!$D:$K,8,FALSE),0)),0))</f>
        <v/>
      </c>
      <c r="AI34" s="58" t="str">
        <f t="shared" si="1"/>
        <v/>
      </c>
      <c r="AJ34" s="59" t="str">
        <f t="shared" si="2"/>
        <v/>
      </c>
    </row>
    <row r="35" spans="2:36" ht="15" thickBot="1" x14ac:dyDescent="0.35">
      <c r="B35" s="54" t="str">
        <f t="shared" si="3"/>
        <v/>
      </c>
      <c r="C35" s="9" t="str">
        <f t="shared" si="0"/>
        <v/>
      </c>
      <c r="D35" s="70"/>
      <c r="E35" s="71"/>
      <c r="F35" s="70"/>
      <c r="G35" s="72"/>
      <c r="H35" s="73"/>
      <c r="I35" s="64">
        <f t="array" ref="I35">IF(H35&lt;&gt;"UCM",0,IF(AI35=LARGE(IF($H:$H="UCM",$AI:$AI,""),1),1,0))</f>
        <v>0</v>
      </c>
      <c r="J35" s="64">
        <f t="array" ref="J35">IF(H35&lt;&gt;"Scourge",0,IF(AI35=LARGE(IF($H:$H="Scourge",$AI:$AI,""),1),1,0))</f>
        <v>0</v>
      </c>
      <c r="K35" s="64">
        <f t="array" ref="K35">IF(H35&lt;&gt;"PHR",0,IF(AI35=LARGE(IF($H:$H="PHR",$AI:$AI,""),1),1,0))</f>
        <v>0</v>
      </c>
      <c r="L35" s="64">
        <f t="array" ref="L35">IF(H35&lt;&gt;"Shaltari",0,IF(AI35=LARGE(IF($H:$H="Shaltari",$AI:$AI,""),1),1,0))</f>
        <v>0</v>
      </c>
      <c r="M35" s="64">
        <f t="array" ref="M35">IF(H35&lt;&gt;"Resistance",0,IF(AI35=LARGE(IF($H:$H="Resistance",$AI:$AI,""),1),1,0))</f>
        <v>0</v>
      </c>
      <c r="N35" s="64">
        <f t="shared" si="4"/>
        <v>0</v>
      </c>
      <c r="O35" s="35"/>
      <c r="P35" s="64" t="str">
        <f t="shared" si="5"/>
        <v/>
      </c>
      <c r="Q35" s="79"/>
      <c r="R35" s="64">
        <f t="array" ref="R35">IF(Q35="",0,IF(COUNTIF(G:G,Q35)&gt;=1,LARGE(IF($G:$G=Q35,$AI:$AI),1),0))</f>
        <v>0</v>
      </c>
      <c r="S35" s="64">
        <f t="array" ref="S35">IF(Q35="",0,IF(COUNTIF(G:G,Q35)&gt;=2,LARGE(IF($G:$G=Q35,$AI:$AI),2),0))</f>
        <v>0</v>
      </c>
      <c r="T35" s="64">
        <f t="array" ref="T35">IF(Q35="",0,IF(COUNTIF(G:G,Q35)&gt;=3,LARGE(IF($G:$G=Q35,$AI:$AI),3),0))</f>
        <v>0</v>
      </c>
      <c r="U35" s="64">
        <f t="shared" si="6"/>
        <v>0</v>
      </c>
      <c r="V35">
        <v>29</v>
      </c>
      <c r="X35" s="9" t="str">
        <f>VLOOKUP(C35,'Round 1'!$D:$G,4,FALSE)</f>
        <v/>
      </c>
      <c r="Y35" s="1" t="str">
        <f>IF(COUNTIF('Round 2'!$D:$D,C35)=1,VLOOKUP(C35,'Round 2'!$D:$G,4,FALSE),"")</f>
        <v/>
      </c>
      <c r="Z35" s="1" t="str">
        <f>IF(COUNTIF('Round 3'!$D:$D,C35)=1,VLOOKUP(C35,'Round 3'!$D:$G,4,FALSE),"")</f>
        <v/>
      </c>
      <c r="AA35" s="10" t="str">
        <f>IF(COUNTIF('Round 4'!$D:$D,C35)=1,VLOOKUP(C35,'Round 4'!$D:$G,4,FALSE),"")</f>
        <v/>
      </c>
      <c r="AC35">
        <f>G4</f>
        <v>5</v>
      </c>
      <c r="AD35" s="9" t="str">
        <f>IF(C35="","",IF(COUNTIF('Round 1'!$D:$D,C35)=1,IF(VLOOKUP(C35,'Round 1'!$D:$Q,14,FALSE)="",0,IF(AC35&gt;=1,(VLOOKUP(C35,'Round 1'!$D:$Q,14,FALSE)*10000)+VLOOKUP(C35,'Round 1'!$D:$K,8,FALSE),0)),0))</f>
        <v/>
      </c>
      <c r="AE35" s="1" t="str">
        <f>IF(C35="","",IF(COUNTIF('Round 2'!$D:$D,C35)=1,IF(VLOOKUP(C35,'Round 2'!$D:$Q,14,FALSE)="",0,IF(AC35&gt;=2,(VLOOKUP(C35,'Round 2'!$D:$Q,14,FALSE)*10000)+VLOOKUP(C35,'Round 2'!$D:$K,8,FALSE),0)),0))</f>
        <v/>
      </c>
      <c r="AF35" s="1" t="str">
        <f>IF(C35="","",IF(COUNTIF('Round 3'!$D:$D,C35)=1,IF(VLOOKUP(C35,'Round 3'!$D:$Q,14,FALSE)="",0,IF(AC35&gt;=3,(VLOOKUP(C35,'Round 3'!$D:$Q,14,FALSE)*10000)+VLOOKUP(C35,'Round 3'!$D:$K,8,FALSE),0)),0))</f>
        <v/>
      </c>
      <c r="AG35" s="1" t="str">
        <f>IF(C35="","",IF(COUNTIF('Round 4'!$D:$D,C35)=1,IF(VLOOKUP(C35,'Round 4'!$D:$Q,14,FALSE)="",0,IF(AC35&gt;=4,(VLOOKUP(C35,'Round 4'!$D:$Q,14,FALSE)*10000)+VLOOKUP(C35,'Round 4'!$D:$K,8,FALSE),0)),0))</f>
        <v/>
      </c>
      <c r="AH35" s="30" t="str">
        <f>IF(C35="","",IF(COUNTIF('Round 5'!$D:$D,C35)=1,IF(VLOOKUP(C35,'Round 5'!$D:$Q,14,FALSE)="",0,IF(AC35&gt;=5,(VLOOKUP(C35,'Round 5'!$D:$Q,14,FALSE)*10000)+VLOOKUP(C35,'Round 5'!$D:$K,8,FALSE),0)),0))</f>
        <v/>
      </c>
      <c r="AI35" s="58" t="str">
        <f t="shared" si="1"/>
        <v/>
      </c>
      <c r="AJ35" s="59" t="str">
        <f t="shared" si="2"/>
        <v/>
      </c>
    </row>
    <row r="36" spans="2:36" ht="15" thickBot="1" x14ac:dyDescent="0.35">
      <c r="B36" s="54" t="str">
        <f t="shared" si="3"/>
        <v/>
      </c>
      <c r="C36" s="9" t="str">
        <f t="shared" si="0"/>
        <v/>
      </c>
      <c r="D36" s="70"/>
      <c r="E36" s="71"/>
      <c r="F36" s="70"/>
      <c r="G36" s="72"/>
      <c r="H36" s="73"/>
      <c r="I36" s="64">
        <f t="array" ref="I36">IF(H36&lt;&gt;"UCM",0,IF(AI36=LARGE(IF($H:$H="UCM",$AI:$AI,""),1),1,0))</f>
        <v>0</v>
      </c>
      <c r="J36" s="64">
        <f t="array" ref="J36">IF(H36&lt;&gt;"Scourge",0,IF(AI36=LARGE(IF($H:$H="Scourge",$AI:$AI,""),1),1,0))</f>
        <v>0</v>
      </c>
      <c r="K36" s="64">
        <f t="array" ref="K36">IF(H36&lt;&gt;"PHR",0,IF(AI36=LARGE(IF($H:$H="PHR",$AI:$AI,""),1),1,0))</f>
        <v>0</v>
      </c>
      <c r="L36" s="64">
        <f t="array" ref="L36">IF(H36&lt;&gt;"Shaltari",0,IF(AI36=LARGE(IF($H:$H="Shaltari",$AI:$AI,""),1),1,0))</f>
        <v>0</v>
      </c>
      <c r="M36" s="64">
        <f t="array" ref="M36">IF(H36&lt;&gt;"Resistance",0,IF(AI36=LARGE(IF($H:$H="Resistance",$AI:$AI,""),1),1,0))</f>
        <v>0</v>
      </c>
      <c r="N36" s="64">
        <f t="shared" si="4"/>
        <v>0</v>
      </c>
      <c r="O36" s="35"/>
      <c r="P36" s="64" t="str">
        <f t="shared" si="5"/>
        <v/>
      </c>
      <c r="Q36" s="79"/>
      <c r="R36" s="64">
        <f t="array" ref="R36">IF(Q36="",0,IF(COUNTIF(G:G,Q36)&gt;=1,LARGE(IF($G:$G=Q36,$AI:$AI),1),0))</f>
        <v>0</v>
      </c>
      <c r="S36" s="64">
        <f t="array" ref="S36">IF(Q36="",0,IF(COUNTIF(G:G,Q36)&gt;=2,LARGE(IF($G:$G=Q36,$AI:$AI),2),0))</f>
        <v>0</v>
      </c>
      <c r="T36" s="64">
        <f t="array" ref="T36">IF(Q36="",0,IF(COUNTIF(G:G,Q36)&gt;=3,LARGE(IF($G:$G=Q36,$AI:$AI),3),0))</f>
        <v>0</v>
      </c>
      <c r="U36" s="64">
        <f t="shared" si="6"/>
        <v>0</v>
      </c>
      <c r="V36">
        <v>30</v>
      </c>
      <c r="X36" s="9" t="str">
        <f>VLOOKUP(C36,'Round 1'!$D:$G,4,FALSE)</f>
        <v/>
      </c>
      <c r="Y36" s="1" t="str">
        <f>IF(COUNTIF('Round 2'!$D:$D,C36)=1,VLOOKUP(C36,'Round 2'!$D:$G,4,FALSE),"")</f>
        <v/>
      </c>
      <c r="Z36" s="1" t="str">
        <f>IF(COUNTIF('Round 3'!$D:$D,C36)=1,VLOOKUP(C36,'Round 3'!$D:$G,4,FALSE),"")</f>
        <v/>
      </c>
      <c r="AA36" s="10" t="str">
        <f>IF(COUNTIF('Round 4'!$D:$D,C36)=1,VLOOKUP(C36,'Round 4'!$D:$G,4,FALSE),"")</f>
        <v/>
      </c>
      <c r="AC36">
        <f>G4</f>
        <v>5</v>
      </c>
      <c r="AD36" s="9" t="str">
        <f>IF(C36="","",IF(COUNTIF('Round 1'!$D:$D,C36)=1,IF(VLOOKUP(C36,'Round 1'!$D:$Q,14,FALSE)="",0,IF(AC36&gt;=1,(VLOOKUP(C36,'Round 1'!$D:$Q,14,FALSE)*10000)+VLOOKUP(C36,'Round 1'!$D:$K,8,FALSE),0)),0))</f>
        <v/>
      </c>
      <c r="AE36" s="1" t="str">
        <f>IF(C36="","",IF(COUNTIF('Round 2'!$D:$D,C36)=1,IF(VLOOKUP(C36,'Round 2'!$D:$Q,14,FALSE)="",0,IF(AC36&gt;=2,(VLOOKUP(C36,'Round 2'!$D:$Q,14,FALSE)*10000)+VLOOKUP(C36,'Round 2'!$D:$K,8,FALSE),0)),0))</f>
        <v/>
      </c>
      <c r="AF36" s="1" t="str">
        <f>IF(C36="","",IF(COUNTIF('Round 3'!$D:$D,C36)=1,IF(VLOOKUP(C36,'Round 3'!$D:$Q,14,FALSE)="",0,IF(AC36&gt;=3,(VLOOKUP(C36,'Round 3'!$D:$Q,14,FALSE)*10000)+VLOOKUP(C36,'Round 3'!$D:$K,8,FALSE),0)),0))</f>
        <v/>
      </c>
      <c r="AG36" s="1" t="str">
        <f>IF(C36="","",IF(COUNTIF('Round 4'!$D:$D,C36)=1,IF(VLOOKUP(C36,'Round 4'!$D:$Q,14,FALSE)="",0,IF(AC36&gt;=4,(VLOOKUP(C36,'Round 4'!$D:$Q,14,FALSE)*10000)+VLOOKUP(C36,'Round 4'!$D:$K,8,FALSE),0)),0))</f>
        <v/>
      </c>
      <c r="AH36" s="30" t="str">
        <f>IF(C36="","",IF(COUNTIF('Round 5'!$D:$D,C36)=1,IF(VLOOKUP(C36,'Round 5'!$D:$Q,14,FALSE)="",0,IF(AC36&gt;=5,(VLOOKUP(C36,'Round 5'!$D:$Q,14,FALSE)*10000)+VLOOKUP(C36,'Round 5'!$D:$K,8,FALSE),0)),0))</f>
        <v/>
      </c>
      <c r="AI36" s="58" t="str">
        <f t="shared" si="1"/>
        <v/>
      </c>
      <c r="AJ36" s="59" t="str">
        <f t="shared" si="2"/>
        <v/>
      </c>
    </row>
    <row r="37" spans="2:36" ht="15" thickBot="1" x14ac:dyDescent="0.35">
      <c r="B37" s="54" t="str">
        <f t="shared" si="3"/>
        <v/>
      </c>
      <c r="C37" s="9" t="str">
        <f t="shared" si="0"/>
        <v/>
      </c>
      <c r="D37" s="70"/>
      <c r="E37" s="71"/>
      <c r="F37" s="70"/>
      <c r="G37" s="72"/>
      <c r="H37" s="73"/>
      <c r="I37" s="64">
        <f t="array" ref="I37">IF(H37&lt;&gt;"UCM",0,IF(AI37=LARGE(IF($H:$H="UCM",$AI:$AI,""),1),1,0))</f>
        <v>0</v>
      </c>
      <c r="J37" s="64">
        <f t="array" ref="J37">IF(H37&lt;&gt;"Scourge",0,IF(AI37=LARGE(IF($H:$H="Scourge",$AI:$AI,""),1),1,0))</f>
        <v>0</v>
      </c>
      <c r="K37" s="64">
        <f t="array" ref="K37">IF(H37&lt;&gt;"PHR",0,IF(AI37=LARGE(IF($H:$H="PHR",$AI:$AI,""),1),1,0))</f>
        <v>0</v>
      </c>
      <c r="L37" s="64">
        <f t="array" ref="L37">IF(H37&lt;&gt;"Shaltari",0,IF(AI37=LARGE(IF($H:$H="Shaltari",$AI:$AI,""),1),1,0))</f>
        <v>0</v>
      </c>
      <c r="M37" s="64">
        <f t="array" ref="M37">IF(H37&lt;&gt;"Resistance",0,IF(AI37=LARGE(IF($H:$H="Resistance",$AI:$AI,""),1),1,0))</f>
        <v>0</v>
      </c>
      <c r="N37" s="64">
        <f t="shared" si="4"/>
        <v>0</v>
      </c>
      <c r="O37" s="35"/>
      <c r="P37" s="64" t="str">
        <f t="shared" si="5"/>
        <v/>
      </c>
      <c r="Q37" s="79"/>
      <c r="R37" s="64">
        <f t="array" ref="R37">IF(Q37="",0,IF(COUNTIF(G:G,Q37)&gt;=1,LARGE(IF($G:$G=Q37,$AI:$AI),1),0))</f>
        <v>0</v>
      </c>
      <c r="S37" s="64">
        <f t="array" ref="S37">IF(Q37="",0,IF(COUNTIF(G:G,Q37)&gt;=2,LARGE(IF($G:$G=Q37,$AI:$AI),2),0))</f>
        <v>0</v>
      </c>
      <c r="T37" s="64">
        <f t="array" ref="T37">IF(Q37="",0,IF(COUNTIF(G:G,Q37)&gt;=3,LARGE(IF($G:$G=Q37,$AI:$AI),3),0))</f>
        <v>0</v>
      </c>
      <c r="U37" s="64">
        <f t="shared" si="6"/>
        <v>0</v>
      </c>
      <c r="V37">
        <v>31</v>
      </c>
      <c r="X37" s="9" t="str">
        <f>VLOOKUP(C37,'Round 1'!$D:$G,4,FALSE)</f>
        <v/>
      </c>
      <c r="Y37" s="1" t="str">
        <f>IF(COUNTIF('Round 2'!$D:$D,C37)=1,VLOOKUP(C37,'Round 2'!$D:$G,4,FALSE),"")</f>
        <v/>
      </c>
      <c r="Z37" s="1" t="str">
        <f>IF(COUNTIF('Round 3'!$D:$D,C37)=1,VLOOKUP(C37,'Round 3'!$D:$G,4,FALSE),"")</f>
        <v/>
      </c>
      <c r="AA37" s="10" t="str">
        <f>IF(COUNTIF('Round 4'!$D:$D,C37)=1,VLOOKUP(C37,'Round 4'!$D:$G,4,FALSE),"")</f>
        <v/>
      </c>
      <c r="AC37">
        <f>G4</f>
        <v>5</v>
      </c>
      <c r="AD37" s="9" t="str">
        <f>IF(C37="","",IF(COUNTIF('Round 1'!$D:$D,C37)=1,IF(VLOOKUP(C37,'Round 1'!$D:$Q,14,FALSE)="",0,IF(AC37&gt;=1,(VLOOKUP(C37,'Round 1'!$D:$Q,14,FALSE)*10000)+VLOOKUP(C37,'Round 1'!$D:$K,8,FALSE),0)),0))</f>
        <v/>
      </c>
      <c r="AE37" s="1" t="str">
        <f>IF(C37="","",IF(COUNTIF('Round 2'!$D:$D,C37)=1,IF(VLOOKUP(C37,'Round 2'!$D:$Q,14,FALSE)="",0,IF(AC37&gt;=2,(VLOOKUP(C37,'Round 2'!$D:$Q,14,FALSE)*10000)+VLOOKUP(C37,'Round 2'!$D:$K,8,FALSE),0)),0))</f>
        <v/>
      </c>
      <c r="AF37" s="1" t="str">
        <f>IF(C37="","",IF(COUNTIF('Round 3'!$D:$D,C37)=1,IF(VLOOKUP(C37,'Round 3'!$D:$Q,14,FALSE)="",0,IF(AC37&gt;=3,(VLOOKUP(C37,'Round 3'!$D:$Q,14,FALSE)*10000)+VLOOKUP(C37,'Round 3'!$D:$K,8,FALSE),0)),0))</f>
        <v/>
      </c>
      <c r="AG37" s="1" t="str">
        <f>IF(C37="","",IF(COUNTIF('Round 4'!$D:$D,C37)=1,IF(VLOOKUP(C37,'Round 4'!$D:$Q,14,FALSE)="",0,IF(AC37&gt;=4,(VLOOKUP(C37,'Round 4'!$D:$Q,14,FALSE)*10000)+VLOOKUP(C37,'Round 4'!$D:$K,8,FALSE),0)),0))</f>
        <v/>
      </c>
      <c r="AH37" s="30" t="str">
        <f>IF(C37="","",IF(COUNTIF('Round 5'!$D:$D,C37)=1,IF(VLOOKUP(C37,'Round 5'!$D:$Q,14,FALSE)="",0,IF(AC37&gt;=5,(VLOOKUP(C37,'Round 5'!$D:$Q,14,FALSE)*10000)+VLOOKUP(C37,'Round 5'!$D:$K,8,FALSE),0)),0))</f>
        <v/>
      </c>
      <c r="AI37" s="58" t="str">
        <f t="shared" si="1"/>
        <v/>
      </c>
      <c r="AJ37" s="59" t="str">
        <f t="shared" si="2"/>
        <v/>
      </c>
    </row>
    <row r="38" spans="2:36" ht="15" thickBot="1" x14ac:dyDescent="0.35">
      <c r="B38" s="54" t="str">
        <f t="shared" si="3"/>
        <v/>
      </c>
      <c r="C38" s="9" t="str">
        <f t="shared" si="0"/>
        <v/>
      </c>
      <c r="D38" s="70"/>
      <c r="E38" s="71"/>
      <c r="F38" s="70"/>
      <c r="G38" s="72"/>
      <c r="H38" s="73"/>
      <c r="I38" s="64">
        <f t="array" ref="I38">IF(H38&lt;&gt;"UCM",0,IF(AI38=LARGE(IF($H:$H="UCM",$AI:$AI,""),1),1,0))</f>
        <v>0</v>
      </c>
      <c r="J38" s="64">
        <f t="array" ref="J38">IF(H38&lt;&gt;"Scourge",0,IF(AI38=LARGE(IF($H:$H="Scourge",$AI:$AI,""),1),1,0))</f>
        <v>0</v>
      </c>
      <c r="K38" s="64">
        <f t="array" ref="K38">IF(H38&lt;&gt;"PHR",0,IF(AI38=LARGE(IF($H:$H="PHR",$AI:$AI,""),1),1,0))</f>
        <v>0</v>
      </c>
      <c r="L38" s="64">
        <f t="array" ref="L38">IF(H38&lt;&gt;"Shaltari",0,IF(AI38=LARGE(IF($H:$H="Shaltari",$AI:$AI,""),1),1,0))</f>
        <v>0</v>
      </c>
      <c r="M38" s="64">
        <f t="array" ref="M38">IF(H38&lt;&gt;"Resistance",0,IF(AI38=LARGE(IF($H:$H="Resistance",$AI:$AI,""),1),1,0))</f>
        <v>0</v>
      </c>
      <c r="N38" s="64">
        <f t="shared" si="4"/>
        <v>0</v>
      </c>
      <c r="O38" s="35"/>
      <c r="P38" s="64" t="str">
        <f t="shared" si="5"/>
        <v/>
      </c>
      <c r="Q38" s="79"/>
      <c r="R38" s="64">
        <f t="array" ref="R38">IF(Q38="",0,IF(COUNTIF(G:G,Q38)&gt;=1,LARGE(IF($G:$G=Q38,$AI:$AI),1),0))</f>
        <v>0</v>
      </c>
      <c r="S38" s="64">
        <f t="array" ref="S38">IF(Q38="",0,IF(COUNTIF(G:G,Q38)&gt;=2,LARGE(IF($G:$G=Q38,$AI:$AI),2),0))</f>
        <v>0</v>
      </c>
      <c r="T38" s="64">
        <f t="array" ref="T38">IF(Q38="",0,IF(COUNTIF(G:G,Q38)&gt;=3,LARGE(IF($G:$G=Q38,$AI:$AI),3),0))</f>
        <v>0</v>
      </c>
      <c r="U38" s="64">
        <f t="shared" si="6"/>
        <v>0</v>
      </c>
      <c r="V38">
        <v>32</v>
      </c>
      <c r="X38" s="9" t="str">
        <f>VLOOKUP(C38,'Round 1'!$D:$G,4,FALSE)</f>
        <v/>
      </c>
      <c r="Y38" s="1" t="str">
        <f>IF(COUNTIF('Round 2'!$D:$D,C38)=1,VLOOKUP(C38,'Round 2'!$D:$G,4,FALSE),"")</f>
        <v/>
      </c>
      <c r="Z38" s="1" t="str">
        <f>IF(COUNTIF('Round 3'!$D:$D,C38)=1,VLOOKUP(C38,'Round 3'!$D:$G,4,FALSE),"")</f>
        <v/>
      </c>
      <c r="AA38" s="10" t="str">
        <f>IF(COUNTIF('Round 4'!$D:$D,C38)=1,VLOOKUP(C38,'Round 4'!$D:$G,4,FALSE),"")</f>
        <v/>
      </c>
      <c r="AC38">
        <f>G4</f>
        <v>5</v>
      </c>
      <c r="AD38" s="9" t="str">
        <f>IF(C38="","",IF(COUNTIF('Round 1'!$D:$D,C38)=1,IF(VLOOKUP(C38,'Round 1'!$D:$Q,14,FALSE)="",0,IF(AC38&gt;=1,(VLOOKUP(C38,'Round 1'!$D:$Q,14,FALSE)*10000)+VLOOKUP(C38,'Round 1'!$D:$K,8,FALSE),0)),0))</f>
        <v/>
      </c>
      <c r="AE38" s="1" t="str">
        <f>IF(C38="","",IF(COUNTIF('Round 2'!$D:$D,C38)=1,IF(VLOOKUP(C38,'Round 2'!$D:$Q,14,FALSE)="",0,IF(AC38&gt;=2,(VLOOKUP(C38,'Round 2'!$D:$Q,14,FALSE)*10000)+VLOOKUP(C38,'Round 2'!$D:$K,8,FALSE),0)),0))</f>
        <v/>
      </c>
      <c r="AF38" s="1" t="str">
        <f>IF(C38="","",IF(COUNTIF('Round 3'!$D:$D,C38)=1,IF(VLOOKUP(C38,'Round 3'!$D:$Q,14,FALSE)="",0,IF(AC38&gt;=3,(VLOOKUP(C38,'Round 3'!$D:$Q,14,FALSE)*10000)+VLOOKUP(C38,'Round 3'!$D:$K,8,FALSE),0)),0))</f>
        <v/>
      </c>
      <c r="AG38" s="1" t="str">
        <f>IF(C38="","",IF(COUNTIF('Round 4'!$D:$D,C38)=1,IF(VLOOKUP(C38,'Round 4'!$D:$Q,14,FALSE)="",0,IF(AC38&gt;=4,(VLOOKUP(C38,'Round 4'!$D:$Q,14,FALSE)*10000)+VLOOKUP(C38,'Round 4'!$D:$K,8,FALSE),0)),0))</f>
        <v/>
      </c>
      <c r="AH38" s="30" t="str">
        <f>IF(C38="","",IF(COUNTIF('Round 5'!$D:$D,C38)=1,IF(VLOOKUP(C38,'Round 5'!$D:$Q,14,FALSE)="",0,IF(AC38&gt;=5,(VLOOKUP(C38,'Round 5'!$D:$Q,14,FALSE)*10000)+VLOOKUP(C38,'Round 5'!$D:$K,8,FALSE),0)),0))</f>
        <v/>
      </c>
      <c r="AI38" s="58" t="str">
        <f t="shared" si="1"/>
        <v/>
      </c>
      <c r="AJ38" s="59" t="str">
        <f t="shared" si="2"/>
        <v/>
      </c>
    </row>
    <row r="39" spans="2:36" ht="15" thickBot="1" x14ac:dyDescent="0.35">
      <c r="B39" s="54" t="str">
        <f t="shared" si="3"/>
        <v/>
      </c>
      <c r="C39" s="9" t="str">
        <f t="shared" ref="C39:C70" si="7">IF(E39="","",V39)</f>
        <v/>
      </c>
      <c r="D39" s="70"/>
      <c r="E39" s="71"/>
      <c r="F39" s="70"/>
      <c r="G39" s="72"/>
      <c r="H39" s="73"/>
      <c r="I39" s="64">
        <f t="array" ref="I39">IF(H39&lt;&gt;"UCM",0,IF(AI39=LARGE(IF($H:$H="UCM",$AI:$AI,""),1),1,0))</f>
        <v>0</v>
      </c>
      <c r="J39" s="64">
        <f t="array" ref="J39">IF(H39&lt;&gt;"Scourge",0,IF(AI39=LARGE(IF($H:$H="Scourge",$AI:$AI,""),1),1,0))</f>
        <v>0</v>
      </c>
      <c r="K39" s="64">
        <f t="array" ref="K39">IF(H39&lt;&gt;"PHR",0,IF(AI39=LARGE(IF($H:$H="PHR",$AI:$AI,""),1),1,0))</f>
        <v>0</v>
      </c>
      <c r="L39" s="64">
        <f t="array" ref="L39">IF(H39&lt;&gt;"Shaltari",0,IF(AI39=LARGE(IF($H:$H="Shaltari",$AI:$AI,""),1),1,0))</f>
        <v>0</v>
      </c>
      <c r="M39" s="64">
        <f t="array" ref="M39">IF(H39&lt;&gt;"Resistance",0,IF(AI39=LARGE(IF($H:$H="Resistance",$AI:$AI,""),1),1,0))</f>
        <v>0</v>
      </c>
      <c r="N39" s="64">
        <f t="shared" si="4"/>
        <v>0</v>
      </c>
      <c r="O39" s="35"/>
      <c r="P39" s="64" t="str">
        <f t="shared" si="5"/>
        <v/>
      </c>
      <c r="Q39" s="79"/>
      <c r="R39" s="64">
        <f t="array" ref="R39">IF(Q39="",0,IF(COUNTIF(G:G,Q39)&gt;=1,LARGE(IF($G:$G=Q39,$AI:$AI),1),0))</f>
        <v>0</v>
      </c>
      <c r="S39" s="64">
        <f t="array" ref="S39">IF(Q39="",0,IF(COUNTIF(G:G,Q39)&gt;=2,LARGE(IF($G:$G=Q39,$AI:$AI),2),0))</f>
        <v>0</v>
      </c>
      <c r="T39" s="64">
        <f t="array" ref="T39">IF(Q39="",0,IF(COUNTIF(G:G,Q39)&gt;=3,LARGE(IF($G:$G=Q39,$AI:$AI),3),0))</f>
        <v>0</v>
      </c>
      <c r="U39" s="64">
        <f t="shared" si="6"/>
        <v>0</v>
      </c>
      <c r="V39">
        <v>33</v>
      </c>
      <c r="X39" s="9" t="str">
        <f>VLOOKUP(C39,'Round 1'!$D:$G,4,FALSE)</f>
        <v/>
      </c>
      <c r="Y39" s="1" t="str">
        <f>IF(COUNTIF('Round 2'!$D:$D,C39)=1,VLOOKUP(C39,'Round 2'!$D:$G,4,FALSE),"")</f>
        <v/>
      </c>
      <c r="Z39" s="1" t="str">
        <f>IF(COUNTIF('Round 3'!$D:$D,C39)=1,VLOOKUP(C39,'Round 3'!$D:$G,4,FALSE),"")</f>
        <v/>
      </c>
      <c r="AA39" s="10" t="str">
        <f>IF(COUNTIF('Round 4'!$D:$D,C39)=1,VLOOKUP(C39,'Round 4'!$D:$G,4,FALSE),"")</f>
        <v/>
      </c>
      <c r="AC39">
        <f>G4</f>
        <v>5</v>
      </c>
      <c r="AD39" s="9" t="str">
        <f>IF(C39="","",IF(COUNTIF('Round 1'!$D:$D,C39)=1,IF(VLOOKUP(C39,'Round 1'!$D:$Q,14,FALSE)="",0,IF(AC39&gt;=1,(VLOOKUP(C39,'Round 1'!$D:$Q,14,FALSE)*10000)+VLOOKUP(C39,'Round 1'!$D:$K,8,FALSE),0)),0))</f>
        <v/>
      </c>
      <c r="AE39" s="1" t="str">
        <f>IF(C39="","",IF(COUNTIF('Round 2'!$D:$D,C39)=1,IF(VLOOKUP(C39,'Round 2'!$D:$Q,14,FALSE)="",0,IF(AC39&gt;=2,(VLOOKUP(C39,'Round 2'!$D:$Q,14,FALSE)*10000)+VLOOKUP(C39,'Round 2'!$D:$K,8,FALSE),0)),0))</f>
        <v/>
      </c>
      <c r="AF39" s="1" t="str">
        <f>IF(C39="","",IF(COUNTIF('Round 3'!$D:$D,C39)=1,IF(VLOOKUP(C39,'Round 3'!$D:$Q,14,FALSE)="",0,IF(AC39&gt;=3,(VLOOKUP(C39,'Round 3'!$D:$Q,14,FALSE)*10000)+VLOOKUP(C39,'Round 3'!$D:$K,8,FALSE),0)),0))</f>
        <v/>
      </c>
      <c r="AG39" s="1" t="str">
        <f>IF(C39="","",IF(COUNTIF('Round 4'!$D:$D,C39)=1,IF(VLOOKUP(C39,'Round 4'!$D:$Q,14,FALSE)="",0,IF(AC39&gt;=4,(VLOOKUP(C39,'Round 4'!$D:$Q,14,FALSE)*10000)+VLOOKUP(C39,'Round 4'!$D:$K,8,FALSE),0)),0))</f>
        <v/>
      </c>
      <c r="AH39" s="30" t="str">
        <f>IF(C39="","",IF(COUNTIF('Round 5'!$D:$D,C39)=1,IF(VLOOKUP(C39,'Round 5'!$D:$Q,14,FALSE)="",0,IF(AC39&gt;=5,(VLOOKUP(C39,'Round 5'!$D:$Q,14,FALSE)*10000)+VLOOKUP(C39,'Round 5'!$D:$K,8,FALSE),0)),0))</f>
        <v/>
      </c>
      <c r="AI39" s="58" t="str">
        <f t="shared" ref="AI39:AI70" si="8">IF(C39="","",SUM(AD39:AH39))</f>
        <v/>
      </c>
      <c r="AJ39" s="59" t="str">
        <f t="shared" ref="AJ39:AJ70" si="9">IF(AI39="","",AI39+LARGE(C:C,1)+1-C39)</f>
        <v/>
      </c>
    </row>
    <row r="40" spans="2:36" ht="15" thickBot="1" x14ac:dyDescent="0.35">
      <c r="B40" s="54" t="str">
        <f t="shared" si="3"/>
        <v/>
      </c>
      <c r="C40" s="9" t="str">
        <f t="shared" si="7"/>
        <v/>
      </c>
      <c r="D40" s="70"/>
      <c r="E40" s="71"/>
      <c r="F40" s="70"/>
      <c r="G40" s="72"/>
      <c r="H40" s="73"/>
      <c r="I40" s="64">
        <f t="array" ref="I40">IF(H40&lt;&gt;"UCM",0,IF(AI40=LARGE(IF($H:$H="UCM",$AI:$AI,""),1),1,0))</f>
        <v>0</v>
      </c>
      <c r="J40" s="64">
        <f t="array" ref="J40">IF(H40&lt;&gt;"Scourge",0,IF(AI40=LARGE(IF($H:$H="Scourge",$AI:$AI,""),1),1,0))</f>
        <v>0</v>
      </c>
      <c r="K40" s="64">
        <f t="array" ref="K40">IF(H40&lt;&gt;"PHR",0,IF(AI40=LARGE(IF($H:$H="PHR",$AI:$AI,""),1),1,0))</f>
        <v>0</v>
      </c>
      <c r="L40" s="64">
        <f t="array" ref="L40">IF(H40&lt;&gt;"Shaltari",0,IF(AI40=LARGE(IF($H:$H="Shaltari",$AI:$AI,""),1),1,0))</f>
        <v>0</v>
      </c>
      <c r="M40" s="64">
        <f t="array" ref="M40">IF(H40&lt;&gt;"Resistance",0,IF(AI40=LARGE(IF($H:$H="Resistance",$AI:$AI,""),1),1,0))</f>
        <v>0</v>
      </c>
      <c r="N40" s="64">
        <f t="shared" si="4"/>
        <v>0</v>
      </c>
      <c r="O40" s="35"/>
      <c r="P40" s="64" t="str">
        <f t="shared" si="5"/>
        <v/>
      </c>
      <c r="Q40" s="79"/>
      <c r="R40" s="64">
        <f t="array" ref="R40">IF(Q40="",0,IF(COUNTIF(G:G,Q40)&gt;=1,LARGE(IF($G:$G=Q40,$AI:$AI),1),0))</f>
        <v>0</v>
      </c>
      <c r="S40" s="64">
        <f t="array" ref="S40">IF(Q40="",0,IF(COUNTIF(G:G,Q40)&gt;=2,LARGE(IF($G:$G=Q40,$AI:$AI),2),0))</f>
        <v>0</v>
      </c>
      <c r="T40" s="64">
        <f t="array" ref="T40">IF(Q40="",0,IF(COUNTIF(G:G,Q40)&gt;=3,LARGE(IF($G:$G=Q40,$AI:$AI),3),0))</f>
        <v>0</v>
      </c>
      <c r="U40" s="64">
        <f t="shared" si="6"/>
        <v>0</v>
      </c>
      <c r="V40">
        <v>34</v>
      </c>
      <c r="X40" s="9" t="str">
        <f>VLOOKUP(C40,'Round 1'!$D:$G,4,FALSE)</f>
        <v/>
      </c>
      <c r="Y40" s="1" t="str">
        <f>IF(COUNTIF('Round 2'!$D:$D,C40)=1,VLOOKUP(C40,'Round 2'!$D:$G,4,FALSE),"")</f>
        <v/>
      </c>
      <c r="Z40" s="1" t="str">
        <f>IF(COUNTIF('Round 3'!$D:$D,C40)=1,VLOOKUP(C40,'Round 3'!$D:$G,4,FALSE),"")</f>
        <v/>
      </c>
      <c r="AA40" s="10" t="str">
        <f>IF(COUNTIF('Round 4'!$D:$D,C40)=1,VLOOKUP(C40,'Round 4'!$D:$G,4,FALSE),"")</f>
        <v/>
      </c>
      <c r="AC40">
        <f>G4</f>
        <v>5</v>
      </c>
      <c r="AD40" s="9" t="str">
        <f>IF(C40="","",IF(COUNTIF('Round 1'!$D:$D,C40)=1,IF(VLOOKUP(C40,'Round 1'!$D:$Q,14,FALSE)="",0,IF(AC40&gt;=1,(VLOOKUP(C40,'Round 1'!$D:$Q,14,FALSE)*10000)+VLOOKUP(C40,'Round 1'!$D:$K,8,FALSE),0)),0))</f>
        <v/>
      </c>
      <c r="AE40" s="1" t="str">
        <f>IF(C40="","",IF(COUNTIF('Round 2'!$D:$D,C40)=1,IF(VLOOKUP(C40,'Round 2'!$D:$Q,14,FALSE)="",0,IF(AC40&gt;=2,(VLOOKUP(C40,'Round 2'!$D:$Q,14,FALSE)*10000)+VLOOKUP(C40,'Round 2'!$D:$K,8,FALSE),0)),0))</f>
        <v/>
      </c>
      <c r="AF40" s="1" t="str">
        <f>IF(C40="","",IF(COUNTIF('Round 3'!$D:$D,C40)=1,IF(VLOOKUP(C40,'Round 3'!$D:$Q,14,FALSE)="",0,IF(AC40&gt;=3,(VLOOKUP(C40,'Round 3'!$D:$Q,14,FALSE)*10000)+VLOOKUP(C40,'Round 3'!$D:$K,8,FALSE),0)),0))</f>
        <v/>
      </c>
      <c r="AG40" s="1" t="str">
        <f>IF(C40="","",IF(COUNTIF('Round 4'!$D:$D,C40)=1,IF(VLOOKUP(C40,'Round 4'!$D:$Q,14,FALSE)="",0,IF(AC40&gt;=4,(VLOOKUP(C40,'Round 4'!$D:$Q,14,FALSE)*10000)+VLOOKUP(C40,'Round 4'!$D:$K,8,FALSE),0)),0))</f>
        <v/>
      </c>
      <c r="AH40" s="30" t="str">
        <f>IF(C40="","",IF(COUNTIF('Round 5'!$D:$D,C40)=1,IF(VLOOKUP(C40,'Round 5'!$D:$Q,14,FALSE)="",0,IF(AC40&gt;=5,(VLOOKUP(C40,'Round 5'!$D:$Q,14,FALSE)*10000)+VLOOKUP(C40,'Round 5'!$D:$K,8,FALSE),0)),0))</f>
        <v/>
      </c>
      <c r="AI40" s="58" t="str">
        <f t="shared" si="8"/>
        <v/>
      </c>
      <c r="AJ40" s="59" t="str">
        <f t="shared" si="9"/>
        <v/>
      </c>
    </row>
    <row r="41" spans="2:36" ht="15" thickBot="1" x14ac:dyDescent="0.35">
      <c r="B41" s="54" t="str">
        <f t="shared" si="3"/>
        <v/>
      </c>
      <c r="C41" s="9" t="str">
        <f t="shared" si="7"/>
        <v/>
      </c>
      <c r="D41" s="70"/>
      <c r="E41" s="71"/>
      <c r="F41" s="70"/>
      <c r="G41" s="72"/>
      <c r="H41" s="73"/>
      <c r="I41" s="64">
        <f t="array" ref="I41">IF(H41&lt;&gt;"UCM",0,IF(AI41=LARGE(IF($H:$H="UCM",$AI:$AI,""),1),1,0))</f>
        <v>0</v>
      </c>
      <c r="J41" s="64">
        <f t="array" ref="J41">IF(H41&lt;&gt;"Scourge",0,IF(AI41=LARGE(IF($H:$H="Scourge",$AI:$AI,""),1),1,0))</f>
        <v>0</v>
      </c>
      <c r="K41" s="64">
        <f t="array" ref="K41">IF(H41&lt;&gt;"PHR",0,IF(AI41=LARGE(IF($H:$H="PHR",$AI:$AI,""),1),1,0))</f>
        <v>0</v>
      </c>
      <c r="L41" s="64">
        <f t="array" ref="L41">IF(H41&lt;&gt;"Shaltari",0,IF(AI41=LARGE(IF($H:$H="Shaltari",$AI:$AI,""),1),1,0))</f>
        <v>0</v>
      </c>
      <c r="M41" s="64">
        <f t="array" ref="M41">IF(H41&lt;&gt;"Resistance",0,IF(AI41=LARGE(IF($H:$H="Resistance",$AI:$AI,""),1),1,0))</f>
        <v>0</v>
      </c>
      <c r="N41" s="64">
        <f t="shared" si="4"/>
        <v>0</v>
      </c>
      <c r="O41" s="35"/>
      <c r="P41" s="64" t="str">
        <f t="shared" si="5"/>
        <v/>
      </c>
      <c r="Q41" s="79"/>
      <c r="R41" s="64">
        <f t="array" ref="R41">IF(Q41="",0,IF(COUNTIF(G:G,Q41)&gt;=1,LARGE(IF($G:$G=Q41,$AI:$AI),1),0))</f>
        <v>0</v>
      </c>
      <c r="S41" s="64">
        <f t="array" ref="S41">IF(Q41="",0,IF(COUNTIF(G:G,Q41)&gt;=2,LARGE(IF($G:$G=Q41,$AI:$AI),2),0))</f>
        <v>0</v>
      </c>
      <c r="T41" s="64">
        <f t="array" ref="T41">IF(Q41="",0,IF(COUNTIF(G:G,Q41)&gt;=3,LARGE(IF($G:$G=Q41,$AI:$AI),3),0))</f>
        <v>0</v>
      </c>
      <c r="U41" s="64">
        <f t="shared" si="6"/>
        <v>0</v>
      </c>
      <c r="V41">
        <v>35</v>
      </c>
      <c r="X41" s="9" t="str">
        <f>VLOOKUP(C41,'Round 1'!$D:$G,4,FALSE)</f>
        <v/>
      </c>
      <c r="Y41" s="1" t="str">
        <f>IF(COUNTIF('Round 2'!$D:$D,C41)=1,VLOOKUP(C41,'Round 2'!$D:$G,4,FALSE),"")</f>
        <v/>
      </c>
      <c r="Z41" s="1" t="str">
        <f>IF(COUNTIF('Round 3'!$D:$D,C41)=1,VLOOKUP(C41,'Round 3'!$D:$G,4,FALSE),"")</f>
        <v/>
      </c>
      <c r="AA41" s="10" t="str">
        <f>IF(COUNTIF('Round 4'!$D:$D,C41)=1,VLOOKUP(C41,'Round 4'!$D:$G,4,FALSE),"")</f>
        <v/>
      </c>
      <c r="AC41">
        <f>G4</f>
        <v>5</v>
      </c>
      <c r="AD41" s="9" t="str">
        <f>IF(C41="","",IF(COUNTIF('Round 1'!$D:$D,C41)=1,IF(VLOOKUP(C41,'Round 1'!$D:$Q,14,FALSE)="",0,IF(AC41&gt;=1,(VLOOKUP(C41,'Round 1'!$D:$Q,14,FALSE)*10000)+VLOOKUP(C41,'Round 1'!$D:$K,8,FALSE),0)),0))</f>
        <v/>
      </c>
      <c r="AE41" s="1" t="str">
        <f>IF(C41="","",IF(COUNTIF('Round 2'!$D:$D,C41)=1,IF(VLOOKUP(C41,'Round 2'!$D:$Q,14,FALSE)="",0,IF(AC41&gt;=2,(VLOOKUP(C41,'Round 2'!$D:$Q,14,FALSE)*10000)+VLOOKUP(C41,'Round 2'!$D:$K,8,FALSE),0)),0))</f>
        <v/>
      </c>
      <c r="AF41" s="1" t="str">
        <f>IF(C41="","",IF(COUNTIF('Round 3'!$D:$D,C41)=1,IF(VLOOKUP(C41,'Round 3'!$D:$Q,14,FALSE)="",0,IF(AC41&gt;=3,(VLOOKUP(C41,'Round 3'!$D:$Q,14,FALSE)*10000)+VLOOKUP(C41,'Round 3'!$D:$K,8,FALSE),0)),0))</f>
        <v/>
      </c>
      <c r="AG41" s="1" t="str">
        <f>IF(C41="","",IF(COUNTIF('Round 4'!$D:$D,C41)=1,IF(VLOOKUP(C41,'Round 4'!$D:$Q,14,FALSE)="",0,IF(AC41&gt;=4,(VLOOKUP(C41,'Round 4'!$D:$Q,14,FALSE)*10000)+VLOOKUP(C41,'Round 4'!$D:$K,8,FALSE),0)),0))</f>
        <v/>
      </c>
      <c r="AH41" s="30" t="str">
        <f>IF(C41="","",IF(COUNTIF('Round 5'!$D:$D,C41)=1,IF(VLOOKUP(C41,'Round 5'!$D:$Q,14,FALSE)="",0,IF(AC41&gt;=5,(VLOOKUP(C41,'Round 5'!$D:$Q,14,FALSE)*10000)+VLOOKUP(C41,'Round 5'!$D:$K,8,FALSE),0)),0))</f>
        <v/>
      </c>
      <c r="AI41" s="58" t="str">
        <f t="shared" si="8"/>
        <v/>
      </c>
      <c r="AJ41" s="59" t="str">
        <f t="shared" si="9"/>
        <v/>
      </c>
    </row>
    <row r="42" spans="2:36" ht="15" thickBot="1" x14ac:dyDescent="0.35">
      <c r="B42" s="54" t="str">
        <f t="shared" si="3"/>
        <v/>
      </c>
      <c r="C42" s="9" t="str">
        <f t="shared" si="7"/>
        <v/>
      </c>
      <c r="D42" s="70"/>
      <c r="E42" s="71"/>
      <c r="F42" s="70"/>
      <c r="G42" s="72"/>
      <c r="H42" s="73"/>
      <c r="I42" s="64">
        <f t="array" ref="I42">IF(H42&lt;&gt;"UCM",0,IF(AI42=LARGE(IF($H:$H="UCM",$AI:$AI,""),1),1,0))</f>
        <v>0</v>
      </c>
      <c r="J42" s="64">
        <f t="array" ref="J42">IF(H42&lt;&gt;"Scourge",0,IF(AI42=LARGE(IF($H:$H="Scourge",$AI:$AI,""),1),1,0))</f>
        <v>0</v>
      </c>
      <c r="K42" s="64">
        <f t="array" ref="K42">IF(H42&lt;&gt;"PHR",0,IF(AI42=LARGE(IF($H:$H="PHR",$AI:$AI,""),1),1,0))</f>
        <v>0</v>
      </c>
      <c r="L42" s="64">
        <f t="array" ref="L42">IF(H42&lt;&gt;"Shaltari",0,IF(AI42=LARGE(IF($H:$H="Shaltari",$AI:$AI,""),1),1,0))</f>
        <v>0</v>
      </c>
      <c r="M42" s="64">
        <f t="array" ref="M42">IF(H42&lt;&gt;"Resistance",0,IF(AI42=LARGE(IF($H:$H="Resistance",$AI:$AI,""),1),1,0))</f>
        <v>0</v>
      </c>
      <c r="N42" s="64">
        <f t="shared" si="4"/>
        <v>0</v>
      </c>
      <c r="O42" s="35"/>
      <c r="P42" s="64" t="str">
        <f t="shared" si="5"/>
        <v/>
      </c>
      <c r="Q42" s="79"/>
      <c r="R42" s="64">
        <f t="array" ref="R42">IF(Q42="",0,IF(COUNTIF(G:G,Q42)&gt;=1,LARGE(IF($G:$G=Q42,$AI:$AI),1),0))</f>
        <v>0</v>
      </c>
      <c r="S42" s="64">
        <f t="array" ref="S42">IF(Q42="",0,IF(COUNTIF(G:G,Q42)&gt;=2,LARGE(IF($G:$G=Q42,$AI:$AI),2),0))</f>
        <v>0</v>
      </c>
      <c r="T42" s="64">
        <f t="array" ref="T42">IF(Q42="",0,IF(COUNTIF(G:G,Q42)&gt;=3,LARGE(IF($G:$G=Q42,$AI:$AI),3),0))</f>
        <v>0</v>
      </c>
      <c r="U42" s="64">
        <f t="shared" si="6"/>
        <v>0</v>
      </c>
      <c r="V42">
        <v>36</v>
      </c>
      <c r="X42" s="9" t="str">
        <f>VLOOKUP(C42,'Round 1'!$D:$G,4,FALSE)</f>
        <v/>
      </c>
      <c r="Y42" s="1" t="str">
        <f>IF(COUNTIF('Round 2'!$D:$D,C42)=1,VLOOKUP(C42,'Round 2'!$D:$G,4,FALSE),"")</f>
        <v/>
      </c>
      <c r="Z42" s="1" t="str">
        <f>IF(COUNTIF('Round 3'!$D:$D,C42)=1,VLOOKUP(C42,'Round 3'!$D:$G,4,FALSE),"")</f>
        <v/>
      </c>
      <c r="AA42" s="10" t="str">
        <f>IF(COUNTIF('Round 4'!$D:$D,C42)=1,VLOOKUP(C42,'Round 4'!$D:$G,4,FALSE),"")</f>
        <v/>
      </c>
      <c r="AC42">
        <f>G4</f>
        <v>5</v>
      </c>
      <c r="AD42" s="9" t="str">
        <f>IF(C42="","",IF(COUNTIF('Round 1'!$D:$D,C42)=1,IF(VLOOKUP(C42,'Round 1'!$D:$Q,14,FALSE)="",0,IF(AC42&gt;=1,(VLOOKUP(C42,'Round 1'!$D:$Q,14,FALSE)*10000)+VLOOKUP(C42,'Round 1'!$D:$K,8,FALSE),0)),0))</f>
        <v/>
      </c>
      <c r="AE42" s="1" t="str">
        <f>IF(C42="","",IF(COUNTIF('Round 2'!$D:$D,C42)=1,IF(VLOOKUP(C42,'Round 2'!$D:$Q,14,FALSE)="",0,IF(AC42&gt;=2,(VLOOKUP(C42,'Round 2'!$D:$Q,14,FALSE)*10000)+VLOOKUP(C42,'Round 2'!$D:$K,8,FALSE),0)),0))</f>
        <v/>
      </c>
      <c r="AF42" s="1" t="str">
        <f>IF(C42="","",IF(COUNTIF('Round 3'!$D:$D,C42)=1,IF(VLOOKUP(C42,'Round 3'!$D:$Q,14,FALSE)="",0,IF(AC42&gt;=3,(VLOOKUP(C42,'Round 3'!$D:$Q,14,FALSE)*10000)+VLOOKUP(C42,'Round 3'!$D:$K,8,FALSE),0)),0))</f>
        <v/>
      </c>
      <c r="AG42" s="1" t="str">
        <f>IF(C42="","",IF(COUNTIF('Round 4'!$D:$D,C42)=1,IF(VLOOKUP(C42,'Round 4'!$D:$Q,14,FALSE)="",0,IF(AC42&gt;=4,(VLOOKUP(C42,'Round 4'!$D:$Q,14,FALSE)*10000)+VLOOKUP(C42,'Round 4'!$D:$K,8,FALSE),0)),0))</f>
        <v/>
      </c>
      <c r="AH42" s="30" t="str">
        <f>IF(C42="","",IF(COUNTIF('Round 5'!$D:$D,C42)=1,IF(VLOOKUP(C42,'Round 5'!$D:$Q,14,FALSE)="",0,IF(AC42&gt;=5,(VLOOKUP(C42,'Round 5'!$D:$Q,14,FALSE)*10000)+VLOOKUP(C42,'Round 5'!$D:$K,8,FALSE),0)),0))</f>
        <v/>
      </c>
      <c r="AI42" s="58" t="str">
        <f t="shared" si="8"/>
        <v/>
      </c>
      <c r="AJ42" s="59" t="str">
        <f t="shared" si="9"/>
        <v/>
      </c>
    </row>
    <row r="43" spans="2:36" ht="15" thickBot="1" x14ac:dyDescent="0.35">
      <c r="B43" s="54" t="str">
        <f t="shared" si="3"/>
        <v/>
      </c>
      <c r="C43" s="9" t="str">
        <f t="shared" si="7"/>
        <v/>
      </c>
      <c r="D43" s="70"/>
      <c r="E43" s="71"/>
      <c r="F43" s="70"/>
      <c r="G43" s="72"/>
      <c r="H43" s="73"/>
      <c r="I43" s="64">
        <f t="array" ref="I43">IF(H43&lt;&gt;"UCM",0,IF(AI43=LARGE(IF($H:$H="UCM",$AI:$AI,""),1),1,0))</f>
        <v>0</v>
      </c>
      <c r="J43" s="64">
        <f t="array" ref="J43">IF(H43&lt;&gt;"Scourge",0,IF(AI43=LARGE(IF($H:$H="Scourge",$AI:$AI,""),1),1,0))</f>
        <v>0</v>
      </c>
      <c r="K43" s="64">
        <f t="array" ref="K43">IF(H43&lt;&gt;"PHR",0,IF(AI43=LARGE(IF($H:$H="PHR",$AI:$AI,""),1),1,0))</f>
        <v>0</v>
      </c>
      <c r="L43" s="64">
        <f t="array" ref="L43">IF(H43&lt;&gt;"Shaltari",0,IF(AI43=LARGE(IF($H:$H="Shaltari",$AI:$AI,""),1),1,0))</f>
        <v>0</v>
      </c>
      <c r="M43" s="64">
        <f t="array" ref="M43">IF(H43&lt;&gt;"Resistance",0,IF(AI43=LARGE(IF($H:$H="Resistance",$AI:$AI,""),1),1,0))</f>
        <v>0</v>
      </c>
      <c r="N43" s="64">
        <f t="shared" si="4"/>
        <v>0</v>
      </c>
      <c r="O43" s="35"/>
      <c r="P43" s="64" t="str">
        <f t="shared" si="5"/>
        <v/>
      </c>
      <c r="Q43" s="79"/>
      <c r="R43" s="64">
        <f t="array" ref="R43">IF(Q43="",0,IF(COUNTIF(G:G,Q43)&gt;=1,LARGE(IF($G:$G=Q43,$AI:$AI),1),0))</f>
        <v>0</v>
      </c>
      <c r="S43" s="64">
        <f t="array" ref="S43">IF(Q43="",0,IF(COUNTIF(G:G,Q43)&gt;=2,LARGE(IF($G:$G=Q43,$AI:$AI),2),0))</f>
        <v>0</v>
      </c>
      <c r="T43" s="64">
        <f t="array" ref="T43">IF(Q43="",0,IF(COUNTIF(G:G,Q43)&gt;=3,LARGE(IF($G:$G=Q43,$AI:$AI),3),0))</f>
        <v>0</v>
      </c>
      <c r="U43" s="64">
        <f t="shared" si="6"/>
        <v>0</v>
      </c>
      <c r="V43">
        <v>37</v>
      </c>
      <c r="X43" s="9" t="str">
        <f>VLOOKUP(C43,'Round 1'!$D:$G,4,FALSE)</f>
        <v/>
      </c>
      <c r="Y43" s="1" t="str">
        <f>IF(COUNTIF('Round 2'!$D:$D,C43)=1,VLOOKUP(C43,'Round 2'!$D:$G,4,FALSE),"")</f>
        <v/>
      </c>
      <c r="Z43" s="1" t="str">
        <f>IF(COUNTIF('Round 3'!$D:$D,C43)=1,VLOOKUP(C43,'Round 3'!$D:$G,4,FALSE),"")</f>
        <v/>
      </c>
      <c r="AA43" s="10" t="str">
        <f>IF(COUNTIF('Round 4'!$D:$D,C43)=1,VLOOKUP(C43,'Round 4'!$D:$G,4,FALSE),"")</f>
        <v/>
      </c>
      <c r="AC43">
        <f>G4</f>
        <v>5</v>
      </c>
      <c r="AD43" s="9" t="str">
        <f>IF(C43="","",IF(COUNTIF('Round 1'!$D:$D,C43)=1,IF(VLOOKUP(C43,'Round 1'!$D:$Q,14,FALSE)="",0,IF(AC43&gt;=1,(VLOOKUP(C43,'Round 1'!$D:$Q,14,FALSE)*10000)+VLOOKUP(C43,'Round 1'!$D:$K,8,FALSE),0)),0))</f>
        <v/>
      </c>
      <c r="AE43" s="1" t="str">
        <f>IF(C43="","",IF(COUNTIF('Round 2'!$D:$D,C43)=1,IF(VLOOKUP(C43,'Round 2'!$D:$Q,14,FALSE)="",0,IF(AC43&gt;=2,(VLOOKUP(C43,'Round 2'!$D:$Q,14,FALSE)*10000)+VLOOKUP(C43,'Round 2'!$D:$K,8,FALSE),0)),0))</f>
        <v/>
      </c>
      <c r="AF43" s="1" t="str">
        <f>IF(C43="","",IF(COUNTIF('Round 3'!$D:$D,C43)=1,IF(VLOOKUP(C43,'Round 3'!$D:$Q,14,FALSE)="",0,IF(AC43&gt;=3,(VLOOKUP(C43,'Round 3'!$D:$Q,14,FALSE)*10000)+VLOOKUP(C43,'Round 3'!$D:$K,8,FALSE),0)),0))</f>
        <v/>
      </c>
      <c r="AG43" s="1" t="str">
        <f>IF(C43="","",IF(COUNTIF('Round 4'!$D:$D,C43)=1,IF(VLOOKUP(C43,'Round 4'!$D:$Q,14,FALSE)="",0,IF(AC43&gt;=4,(VLOOKUP(C43,'Round 4'!$D:$Q,14,FALSE)*10000)+VLOOKUP(C43,'Round 4'!$D:$K,8,FALSE),0)),0))</f>
        <v/>
      </c>
      <c r="AH43" s="30" t="str">
        <f>IF(C43="","",IF(COUNTIF('Round 5'!$D:$D,C43)=1,IF(VLOOKUP(C43,'Round 5'!$D:$Q,14,FALSE)="",0,IF(AC43&gt;=5,(VLOOKUP(C43,'Round 5'!$D:$Q,14,FALSE)*10000)+VLOOKUP(C43,'Round 5'!$D:$K,8,FALSE),0)),0))</f>
        <v/>
      </c>
      <c r="AI43" s="58" t="str">
        <f t="shared" si="8"/>
        <v/>
      </c>
      <c r="AJ43" s="59" t="str">
        <f t="shared" si="9"/>
        <v/>
      </c>
    </row>
    <row r="44" spans="2:36" ht="15" thickBot="1" x14ac:dyDescent="0.35">
      <c r="B44" s="54" t="str">
        <f t="shared" si="3"/>
        <v/>
      </c>
      <c r="C44" s="9" t="str">
        <f t="shared" si="7"/>
        <v/>
      </c>
      <c r="D44" s="70"/>
      <c r="E44" s="71"/>
      <c r="F44" s="70"/>
      <c r="G44" s="72"/>
      <c r="H44" s="73"/>
      <c r="I44" s="64">
        <f t="array" ref="I44">IF(H44&lt;&gt;"UCM",0,IF(AI44=LARGE(IF($H:$H="UCM",$AI:$AI,""),1),1,0))</f>
        <v>0</v>
      </c>
      <c r="J44" s="64">
        <f t="array" ref="J44">IF(H44&lt;&gt;"Scourge",0,IF(AI44=LARGE(IF($H:$H="Scourge",$AI:$AI,""),1),1,0))</f>
        <v>0</v>
      </c>
      <c r="K44" s="64">
        <f t="array" ref="K44">IF(H44&lt;&gt;"PHR",0,IF(AI44=LARGE(IF($H:$H="PHR",$AI:$AI,""),1),1,0))</f>
        <v>0</v>
      </c>
      <c r="L44" s="64">
        <f t="array" ref="L44">IF(H44&lt;&gt;"Shaltari",0,IF(AI44=LARGE(IF($H:$H="Shaltari",$AI:$AI,""),1),1,0))</f>
        <v>0</v>
      </c>
      <c r="M44" s="64">
        <f t="array" ref="M44">IF(H44&lt;&gt;"Resistance",0,IF(AI44=LARGE(IF($H:$H="Resistance",$AI:$AI,""),1),1,0))</f>
        <v>0</v>
      </c>
      <c r="N44" s="64">
        <f t="shared" si="4"/>
        <v>0</v>
      </c>
      <c r="O44" s="35"/>
      <c r="P44" s="64" t="str">
        <f t="shared" si="5"/>
        <v/>
      </c>
      <c r="Q44" s="79"/>
      <c r="R44" s="64">
        <f t="array" ref="R44">IF(Q44="",0,IF(COUNTIF(G:G,Q44)&gt;=1,LARGE(IF($G:$G=Q44,$AI:$AI),1),0))</f>
        <v>0</v>
      </c>
      <c r="S44" s="64">
        <f t="array" ref="S44">IF(Q44="",0,IF(COUNTIF(G:G,Q44)&gt;=2,LARGE(IF($G:$G=Q44,$AI:$AI),2),0))</f>
        <v>0</v>
      </c>
      <c r="T44" s="64">
        <f t="array" ref="T44">IF(Q44="",0,IF(COUNTIF(G:G,Q44)&gt;=3,LARGE(IF($G:$G=Q44,$AI:$AI),3),0))</f>
        <v>0</v>
      </c>
      <c r="U44" s="64">
        <f t="shared" si="6"/>
        <v>0</v>
      </c>
      <c r="V44">
        <v>38</v>
      </c>
      <c r="X44" s="9" t="str">
        <f>VLOOKUP(C44,'Round 1'!$D:$G,4,FALSE)</f>
        <v/>
      </c>
      <c r="Y44" s="1" t="str">
        <f>IF(COUNTIF('Round 2'!$D:$D,C44)=1,VLOOKUP(C44,'Round 2'!$D:$G,4,FALSE),"")</f>
        <v/>
      </c>
      <c r="Z44" s="1" t="str">
        <f>IF(COUNTIF('Round 3'!$D:$D,C44)=1,VLOOKUP(C44,'Round 3'!$D:$G,4,FALSE),"")</f>
        <v/>
      </c>
      <c r="AA44" s="10" t="str">
        <f>IF(COUNTIF('Round 4'!$D:$D,C44)=1,VLOOKUP(C44,'Round 4'!$D:$G,4,FALSE),"")</f>
        <v/>
      </c>
      <c r="AC44">
        <f>G4</f>
        <v>5</v>
      </c>
      <c r="AD44" s="9" t="str">
        <f>IF(C44="","",IF(COUNTIF('Round 1'!$D:$D,C44)=1,IF(VLOOKUP(C44,'Round 1'!$D:$Q,14,FALSE)="",0,IF(AC44&gt;=1,(VLOOKUP(C44,'Round 1'!$D:$Q,14,FALSE)*10000)+VLOOKUP(C44,'Round 1'!$D:$K,8,FALSE),0)),0))</f>
        <v/>
      </c>
      <c r="AE44" s="1" t="str">
        <f>IF(C44="","",IF(COUNTIF('Round 2'!$D:$D,C44)=1,IF(VLOOKUP(C44,'Round 2'!$D:$Q,14,FALSE)="",0,IF(AC44&gt;=2,(VLOOKUP(C44,'Round 2'!$D:$Q,14,FALSE)*10000)+VLOOKUP(C44,'Round 2'!$D:$K,8,FALSE),0)),0))</f>
        <v/>
      </c>
      <c r="AF44" s="1" t="str">
        <f>IF(C44="","",IF(COUNTIF('Round 3'!$D:$D,C44)=1,IF(VLOOKUP(C44,'Round 3'!$D:$Q,14,FALSE)="",0,IF(AC44&gt;=3,(VLOOKUP(C44,'Round 3'!$D:$Q,14,FALSE)*10000)+VLOOKUP(C44,'Round 3'!$D:$K,8,FALSE),0)),0))</f>
        <v/>
      </c>
      <c r="AG44" s="1" t="str">
        <f>IF(C44="","",IF(COUNTIF('Round 4'!$D:$D,C44)=1,IF(VLOOKUP(C44,'Round 4'!$D:$Q,14,FALSE)="",0,IF(AC44&gt;=4,(VLOOKUP(C44,'Round 4'!$D:$Q,14,FALSE)*10000)+VLOOKUP(C44,'Round 4'!$D:$K,8,FALSE),0)),0))</f>
        <v/>
      </c>
      <c r="AH44" s="30" t="str">
        <f>IF(C44="","",IF(COUNTIF('Round 5'!$D:$D,C44)=1,IF(VLOOKUP(C44,'Round 5'!$D:$Q,14,FALSE)="",0,IF(AC44&gt;=5,(VLOOKUP(C44,'Round 5'!$D:$Q,14,FALSE)*10000)+VLOOKUP(C44,'Round 5'!$D:$K,8,FALSE),0)),0))</f>
        <v/>
      </c>
      <c r="AI44" s="58" t="str">
        <f t="shared" si="8"/>
        <v/>
      </c>
      <c r="AJ44" s="59" t="str">
        <f t="shared" si="9"/>
        <v/>
      </c>
    </row>
    <row r="45" spans="2:36" ht="15" thickBot="1" x14ac:dyDescent="0.35">
      <c r="B45" s="54" t="str">
        <f t="shared" si="3"/>
        <v/>
      </c>
      <c r="C45" s="9" t="str">
        <f t="shared" si="7"/>
        <v/>
      </c>
      <c r="D45" s="70"/>
      <c r="E45" s="71"/>
      <c r="F45" s="70"/>
      <c r="G45" s="72"/>
      <c r="H45" s="73"/>
      <c r="I45" s="64">
        <f t="array" ref="I45">IF(H45&lt;&gt;"UCM",0,IF(AI45=LARGE(IF($H:$H="UCM",$AI:$AI,""),1),1,0))</f>
        <v>0</v>
      </c>
      <c r="J45" s="64">
        <f t="array" ref="J45">IF(H45&lt;&gt;"Scourge",0,IF(AI45=LARGE(IF($H:$H="Scourge",$AI:$AI,""),1),1,0))</f>
        <v>0</v>
      </c>
      <c r="K45" s="64">
        <f t="array" ref="K45">IF(H45&lt;&gt;"PHR",0,IF(AI45=LARGE(IF($H:$H="PHR",$AI:$AI,""),1),1,0))</f>
        <v>0</v>
      </c>
      <c r="L45" s="64">
        <f t="array" ref="L45">IF(H45&lt;&gt;"Shaltari",0,IF(AI45=LARGE(IF($H:$H="Shaltari",$AI:$AI,""),1),1,0))</f>
        <v>0</v>
      </c>
      <c r="M45" s="64">
        <f t="array" ref="M45">IF(H45&lt;&gt;"Resistance",0,IF(AI45=LARGE(IF($H:$H="Resistance",$AI:$AI,""),1),1,0))</f>
        <v>0</v>
      </c>
      <c r="N45" s="64">
        <f t="shared" si="4"/>
        <v>0</v>
      </c>
      <c r="O45" s="35"/>
      <c r="P45" s="64" t="str">
        <f t="shared" si="5"/>
        <v/>
      </c>
      <c r="Q45" s="79"/>
      <c r="R45" s="64">
        <f t="array" ref="R45">IF(Q45="",0,IF(COUNTIF(G:G,Q45)&gt;=1,LARGE(IF($G:$G=Q45,$AI:$AI),1),0))</f>
        <v>0</v>
      </c>
      <c r="S45" s="64">
        <f t="array" ref="S45">IF(Q45="",0,IF(COUNTIF(G:G,Q45)&gt;=2,LARGE(IF($G:$G=Q45,$AI:$AI),2),0))</f>
        <v>0</v>
      </c>
      <c r="T45" s="64">
        <f t="array" ref="T45">IF(Q45="",0,IF(COUNTIF(G:G,Q45)&gt;=3,LARGE(IF($G:$G=Q45,$AI:$AI),3),0))</f>
        <v>0</v>
      </c>
      <c r="U45" s="64">
        <f t="shared" si="6"/>
        <v>0</v>
      </c>
      <c r="V45">
        <v>39</v>
      </c>
      <c r="X45" s="9" t="str">
        <f>VLOOKUP(C45,'Round 1'!$D:$G,4,FALSE)</f>
        <v/>
      </c>
      <c r="Y45" s="1" t="str">
        <f>IF(COUNTIF('Round 2'!$D:$D,C45)=1,VLOOKUP(C45,'Round 2'!$D:$G,4,FALSE),"")</f>
        <v/>
      </c>
      <c r="Z45" s="1" t="str">
        <f>IF(COUNTIF('Round 3'!$D:$D,C45)=1,VLOOKUP(C45,'Round 3'!$D:$G,4,FALSE),"")</f>
        <v/>
      </c>
      <c r="AA45" s="10" t="str">
        <f>IF(COUNTIF('Round 4'!$D:$D,C45)=1,VLOOKUP(C45,'Round 4'!$D:$G,4,FALSE),"")</f>
        <v/>
      </c>
      <c r="AC45">
        <f>G4</f>
        <v>5</v>
      </c>
      <c r="AD45" s="9" t="str">
        <f>IF(C45="","",IF(COUNTIF('Round 1'!$D:$D,C45)=1,IF(VLOOKUP(C45,'Round 1'!$D:$Q,14,FALSE)="",0,IF(AC45&gt;=1,(VLOOKUP(C45,'Round 1'!$D:$Q,14,FALSE)*10000)+VLOOKUP(C45,'Round 1'!$D:$K,8,FALSE),0)),0))</f>
        <v/>
      </c>
      <c r="AE45" s="1" t="str">
        <f>IF(C45="","",IF(COUNTIF('Round 2'!$D:$D,C45)=1,IF(VLOOKUP(C45,'Round 2'!$D:$Q,14,FALSE)="",0,IF(AC45&gt;=2,(VLOOKUP(C45,'Round 2'!$D:$Q,14,FALSE)*10000)+VLOOKUP(C45,'Round 2'!$D:$K,8,FALSE),0)),0))</f>
        <v/>
      </c>
      <c r="AF45" s="1" t="str">
        <f>IF(C45="","",IF(COUNTIF('Round 3'!$D:$D,C45)=1,IF(VLOOKUP(C45,'Round 3'!$D:$Q,14,FALSE)="",0,IF(AC45&gt;=3,(VLOOKUP(C45,'Round 3'!$D:$Q,14,FALSE)*10000)+VLOOKUP(C45,'Round 3'!$D:$K,8,FALSE),0)),0))</f>
        <v/>
      </c>
      <c r="AG45" s="1" t="str">
        <f>IF(C45="","",IF(COUNTIF('Round 4'!$D:$D,C45)=1,IF(VLOOKUP(C45,'Round 4'!$D:$Q,14,FALSE)="",0,IF(AC45&gt;=4,(VLOOKUP(C45,'Round 4'!$D:$Q,14,FALSE)*10000)+VLOOKUP(C45,'Round 4'!$D:$K,8,FALSE),0)),0))</f>
        <v/>
      </c>
      <c r="AH45" s="30" t="str">
        <f>IF(C45="","",IF(COUNTIF('Round 5'!$D:$D,C45)=1,IF(VLOOKUP(C45,'Round 5'!$D:$Q,14,FALSE)="",0,IF(AC45&gt;=5,(VLOOKUP(C45,'Round 5'!$D:$Q,14,FALSE)*10000)+VLOOKUP(C45,'Round 5'!$D:$K,8,FALSE),0)),0))</f>
        <v/>
      </c>
      <c r="AI45" s="58" t="str">
        <f t="shared" si="8"/>
        <v/>
      </c>
      <c r="AJ45" s="59" t="str">
        <f t="shared" si="9"/>
        <v/>
      </c>
    </row>
    <row r="46" spans="2:36" ht="15" thickBot="1" x14ac:dyDescent="0.35">
      <c r="B46" s="54" t="str">
        <f t="shared" si="3"/>
        <v/>
      </c>
      <c r="C46" s="9" t="str">
        <f t="shared" si="7"/>
        <v/>
      </c>
      <c r="D46" s="70"/>
      <c r="E46" s="71"/>
      <c r="F46" s="70"/>
      <c r="G46" s="72"/>
      <c r="H46" s="73"/>
      <c r="I46" s="64">
        <f t="array" ref="I46">IF(H46&lt;&gt;"UCM",0,IF(AI46=LARGE(IF($H:$H="UCM",$AI:$AI,""),1),1,0))</f>
        <v>0</v>
      </c>
      <c r="J46" s="64">
        <f t="array" ref="J46">IF(H46&lt;&gt;"Scourge",0,IF(AI46=LARGE(IF($H:$H="Scourge",$AI:$AI,""),1),1,0))</f>
        <v>0</v>
      </c>
      <c r="K46" s="64">
        <f t="array" ref="K46">IF(H46&lt;&gt;"PHR",0,IF(AI46=LARGE(IF($H:$H="PHR",$AI:$AI,""),1),1,0))</f>
        <v>0</v>
      </c>
      <c r="L46" s="64">
        <f t="array" ref="L46">IF(H46&lt;&gt;"Shaltari",0,IF(AI46=LARGE(IF($H:$H="Shaltari",$AI:$AI,""),1),1,0))</f>
        <v>0</v>
      </c>
      <c r="M46" s="64">
        <f t="array" ref="M46">IF(H46&lt;&gt;"Resistance",0,IF(AI46=LARGE(IF($H:$H="Resistance",$AI:$AI,""),1),1,0))</f>
        <v>0</v>
      </c>
      <c r="N46" s="64">
        <f t="shared" si="4"/>
        <v>0</v>
      </c>
      <c r="O46" s="35"/>
      <c r="P46" s="64" t="str">
        <f t="shared" si="5"/>
        <v/>
      </c>
      <c r="Q46" s="79"/>
      <c r="R46" s="64">
        <f t="array" ref="R46">IF(Q46="",0,IF(COUNTIF(G:G,Q46)&gt;=1,LARGE(IF($G:$G=Q46,$AI:$AI),1),0))</f>
        <v>0</v>
      </c>
      <c r="S46" s="64">
        <f t="array" ref="S46">IF(Q46="",0,IF(COUNTIF(G:G,Q46)&gt;=2,LARGE(IF($G:$G=Q46,$AI:$AI),2),0))</f>
        <v>0</v>
      </c>
      <c r="T46" s="64">
        <f t="array" ref="T46">IF(Q46="",0,IF(COUNTIF(G:G,Q46)&gt;=3,LARGE(IF($G:$G=Q46,$AI:$AI),3),0))</f>
        <v>0</v>
      </c>
      <c r="U46" s="64">
        <f t="shared" si="6"/>
        <v>0</v>
      </c>
      <c r="V46">
        <v>40</v>
      </c>
      <c r="X46" s="9" t="str">
        <f>VLOOKUP(C46,'Round 1'!$D:$G,4,FALSE)</f>
        <v/>
      </c>
      <c r="Y46" s="1" t="str">
        <f>IF(COUNTIF('Round 2'!$D:$D,C46)=1,VLOOKUP(C46,'Round 2'!$D:$G,4,FALSE),"")</f>
        <v/>
      </c>
      <c r="Z46" s="1" t="str">
        <f>IF(COUNTIF('Round 3'!$D:$D,C46)=1,VLOOKUP(C46,'Round 3'!$D:$G,4,FALSE),"")</f>
        <v/>
      </c>
      <c r="AA46" s="10" t="str">
        <f>IF(COUNTIF('Round 4'!$D:$D,C46)=1,VLOOKUP(C46,'Round 4'!$D:$G,4,FALSE),"")</f>
        <v/>
      </c>
      <c r="AC46">
        <f>G4</f>
        <v>5</v>
      </c>
      <c r="AD46" s="9" t="str">
        <f>IF(C46="","",IF(COUNTIF('Round 1'!$D:$D,C46)=1,IF(VLOOKUP(C46,'Round 1'!$D:$Q,14,FALSE)="",0,IF(AC46&gt;=1,(VLOOKUP(C46,'Round 1'!$D:$Q,14,FALSE)*10000)+VLOOKUP(C46,'Round 1'!$D:$K,8,FALSE),0)),0))</f>
        <v/>
      </c>
      <c r="AE46" s="1" t="str">
        <f>IF(C46="","",IF(COUNTIF('Round 2'!$D:$D,C46)=1,IF(VLOOKUP(C46,'Round 2'!$D:$Q,14,FALSE)="",0,IF(AC46&gt;=2,(VLOOKUP(C46,'Round 2'!$D:$Q,14,FALSE)*10000)+VLOOKUP(C46,'Round 2'!$D:$K,8,FALSE),0)),0))</f>
        <v/>
      </c>
      <c r="AF46" s="1" t="str">
        <f>IF(C46="","",IF(COUNTIF('Round 3'!$D:$D,C46)=1,IF(VLOOKUP(C46,'Round 3'!$D:$Q,14,FALSE)="",0,IF(AC46&gt;=3,(VLOOKUP(C46,'Round 3'!$D:$Q,14,FALSE)*10000)+VLOOKUP(C46,'Round 3'!$D:$K,8,FALSE),0)),0))</f>
        <v/>
      </c>
      <c r="AG46" s="1" t="str">
        <f>IF(C46="","",IF(COUNTIF('Round 4'!$D:$D,C46)=1,IF(VLOOKUP(C46,'Round 4'!$D:$Q,14,FALSE)="",0,IF(AC46&gt;=4,(VLOOKUP(C46,'Round 4'!$D:$Q,14,FALSE)*10000)+VLOOKUP(C46,'Round 4'!$D:$K,8,FALSE),0)),0))</f>
        <v/>
      </c>
      <c r="AH46" s="30" t="str">
        <f>IF(C46="","",IF(COUNTIF('Round 5'!$D:$D,C46)=1,IF(VLOOKUP(C46,'Round 5'!$D:$Q,14,FALSE)="",0,IF(AC46&gt;=5,(VLOOKUP(C46,'Round 5'!$D:$Q,14,FALSE)*10000)+VLOOKUP(C46,'Round 5'!$D:$K,8,FALSE),0)),0))</f>
        <v/>
      </c>
      <c r="AI46" s="58" t="str">
        <f t="shared" si="8"/>
        <v/>
      </c>
      <c r="AJ46" s="59" t="str">
        <f t="shared" si="9"/>
        <v/>
      </c>
    </row>
    <row r="47" spans="2:36" ht="15" thickBot="1" x14ac:dyDescent="0.35">
      <c r="B47" s="54" t="str">
        <f t="shared" si="3"/>
        <v/>
      </c>
      <c r="C47" s="9" t="str">
        <f t="shared" si="7"/>
        <v/>
      </c>
      <c r="D47" s="70"/>
      <c r="E47" s="71"/>
      <c r="F47" s="70"/>
      <c r="G47" s="72"/>
      <c r="H47" s="73"/>
      <c r="I47" s="64">
        <f t="array" ref="I47">IF(H47&lt;&gt;"UCM",0,IF(AI47=LARGE(IF($H:$H="UCM",$AI:$AI,""),1),1,0))</f>
        <v>0</v>
      </c>
      <c r="J47" s="64">
        <f t="array" ref="J47">IF(H47&lt;&gt;"Scourge",0,IF(AI47=LARGE(IF($H:$H="Scourge",$AI:$AI,""),1),1,0))</f>
        <v>0</v>
      </c>
      <c r="K47" s="64">
        <f t="array" ref="K47">IF(H47&lt;&gt;"PHR",0,IF(AI47=LARGE(IF($H:$H="PHR",$AI:$AI,""),1),1,0))</f>
        <v>0</v>
      </c>
      <c r="L47" s="64">
        <f t="array" ref="L47">IF(H47&lt;&gt;"Shaltari",0,IF(AI47=LARGE(IF($H:$H="Shaltari",$AI:$AI,""),1),1,0))</f>
        <v>0</v>
      </c>
      <c r="M47" s="64">
        <f t="array" ref="M47">IF(H47&lt;&gt;"Resistance",0,IF(AI47=LARGE(IF($H:$H="Resistance",$AI:$AI,""),1),1,0))</f>
        <v>0</v>
      </c>
      <c r="N47" s="64">
        <f t="shared" si="4"/>
        <v>0</v>
      </c>
      <c r="O47" s="35"/>
      <c r="P47" s="64" t="str">
        <f t="shared" si="5"/>
        <v/>
      </c>
      <c r="Q47" s="79"/>
      <c r="R47" s="64">
        <f t="array" ref="R47">IF(Q47="",0,IF(COUNTIF(G:G,Q47)&gt;=1,LARGE(IF($G:$G=Q47,$AI:$AI),1),0))</f>
        <v>0</v>
      </c>
      <c r="S47" s="64">
        <f t="array" ref="S47">IF(Q47="",0,IF(COUNTIF(G:G,Q47)&gt;=2,LARGE(IF($G:$G=Q47,$AI:$AI),2),0))</f>
        <v>0</v>
      </c>
      <c r="T47" s="64">
        <f t="array" ref="T47">IF(Q47="",0,IF(COUNTIF(G:G,Q47)&gt;=3,LARGE(IF($G:$G=Q47,$AI:$AI),3),0))</f>
        <v>0</v>
      </c>
      <c r="U47" s="64">
        <f t="shared" si="6"/>
        <v>0</v>
      </c>
      <c r="V47">
        <v>41</v>
      </c>
      <c r="X47" s="9" t="str">
        <f>VLOOKUP(C47,'Round 1'!$D:$G,4,FALSE)</f>
        <v/>
      </c>
      <c r="Y47" s="1" t="str">
        <f>IF(COUNTIF('Round 2'!$D:$D,C47)=1,VLOOKUP(C47,'Round 2'!$D:$G,4,FALSE),"")</f>
        <v/>
      </c>
      <c r="Z47" s="1" t="str">
        <f>IF(COUNTIF('Round 3'!$D:$D,C47)=1,VLOOKUP(C47,'Round 3'!$D:$G,4,FALSE),"")</f>
        <v/>
      </c>
      <c r="AA47" s="10" t="str">
        <f>IF(COUNTIF('Round 4'!$D:$D,C47)=1,VLOOKUP(C47,'Round 4'!$D:$G,4,FALSE),"")</f>
        <v/>
      </c>
      <c r="AC47">
        <f>G4</f>
        <v>5</v>
      </c>
      <c r="AD47" s="9" t="str">
        <f>IF(C47="","",IF(COUNTIF('Round 1'!$D:$D,C47)=1,IF(VLOOKUP(C47,'Round 1'!$D:$Q,14,FALSE)="",0,IF(AC47&gt;=1,(VLOOKUP(C47,'Round 1'!$D:$Q,14,FALSE)*10000)+VLOOKUP(C47,'Round 1'!$D:$K,8,FALSE),0)),0))</f>
        <v/>
      </c>
      <c r="AE47" s="1" t="str">
        <f>IF(C47="","",IF(COUNTIF('Round 2'!$D:$D,C47)=1,IF(VLOOKUP(C47,'Round 2'!$D:$Q,14,FALSE)="",0,IF(AC47&gt;=2,(VLOOKUP(C47,'Round 2'!$D:$Q,14,FALSE)*10000)+VLOOKUP(C47,'Round 2'!$D:$K,8,FALSE),0)),0))</f>
        <v/>
      </c>
      <c r="AF47" s="1" t="str">
        <f>IF(C47="","",IF(COUNTIF('Round 3'!$D:$D,C47)=1,IF(VLOOKUP(C47,'Round 3'!$D:$Q,14,FALSE)="",0,IF(AC47&gt;=3,(VLOOKUP(C47,'Round 3'!$D:$Q,14,FALSE)*10000)+VLOOKUP(C47,'Round 3'!$D:$K,8,FALSE),0)),0))</f>
        <v/>
      </c>
      <c r="AG47" s="1" t="str">
        <f>IF(C47="","",IF(COUNTIF('Round 4'!$D:$D,C47)=1,IF(VLOOKUP(C47,'Round 4'!$D:$Q,14,FALSE)="",0,IF(AC47&gt;=4,(VLOOKUP(C47,'Round 4'!$D:$Q,14,FALSE)*10000)+VLOOKUP(C47,'Round 4'!$D:$K,8,FALSE),0)),0))</f>
        <v/>
      </c>
      <c r="AH47" s="30" t="str">
        <f>IF(C47="","",IF(COUNTIF('Round 5'!$D:$D,C47)=1,IF(VLOOKUP(C47,'Round 5'!$D:$Q,14,FALSE)="",0,IF(AC47&gt;=5,(VLOOKUP(C47,'Round 5'!$D:$Q,14,FALSE)*10000)+VLOOKUP(C47,'Round 5'!$D:$K,8,FALSE),0)),0))</f>
        <v/>
      </c>
      <c r="AI47" s="58" t="str">
        <f t="shared" si="8"/>
        <v/>
      </c>
      <c r="AJ47" s="59" t="str">
        <f t="shared" si="9"/>
        <v/>
      </c>
    </row>
    <row r="48" spans="2:36" ht="15" thickBot="1" x14ac:dyDescent="0.35">
      <c r="B48" s="54" t="str">
        <f t="shared" si="3"/>
        <v/>
      </c>
      <c r="C48" s="9" t="str">
        <f t="shared" si="7"/>
        <v/>
      </c>
      <c r="D48" s="70"/>
      <c r="E48" s="71"/>
      <c r="F48" s="70"/>
      <c r="G48" s="72"/>
      <c r="H48" s="73"/>
      <c r="I48" s="64">
        <f t="array" ref="I48">IF(H48&lt;&gt;"UCM",0,IF(AI48=LARGE(IF($H:$H="UCM",$AI:$AI,""),1),1,0))</f>
        <v>0</v>
      </c>
      <c r="J48" s="64">
        <f t="array" ref="J48">IF(H48&lt;&gt;"Scourge",0,IF(AI48=LARGE(IF($H:$H="Scourge",$AI:$AI,""),1),1,0))</f>
        <v>0</v>
      </c>
      <c r="K48" s="64">
        <f t="array" ref="K48">IF(H48&lt;&gt;"PHR",0,IF(AI48=LARGE(IF($H:$H="PHR",$AI:$AI,""),1),1,0))</f>
        <v>0</v>
      </c>
      <c r="L48" s="64">
        <f t="array" ref="L48">IF(H48&lt;&gt;"Shaltari",0,IF(AI48=LARGE(IF($H:$H="Shaltari",$AI:$AI,""),1),1,0))</f>
        <v>0</v>
      </c>
      <c r="M48" s="64">
        <f t="array" ref="M48">IF(H48&lt;&gt;"Resistance",0,IF(AI48=LARGE(IF($H:$H="Resistance",$AI:$AI,""),1),1,0))</f>
        <v>0</v>
      </c>
      <c r="N48" s="64">
        <f t="shared" si="4"/>
        <v>0</v>
      </c>
      <c r="O48" s="35"/>
      <c r="P48" s="64" t="str">
        <f t="shared" si="5"/>
        <v/>
      </c>
      <c r="Q48" s="79"/>
      <c r="R48" s="64">
        <f t="array" ref="R48">IF(Q48="",0,IF(COUNTIF(G:G,Q48)&gt;=1,LARGE(IF($G:$G=Q48,$AI:$AI),1),0))</f>
        <v>0</v>
      </c>
      <c r="S48" s="64">
        <f t="array" ref="S48">IF(Q48="",0,IF(COUNTIF(G:G,Q48)&gt;=2,LARGE(IF($G:$G=Q48,$AI:$AI),2),0))</f>
        <v>0</v>
      </c>
      <c r="T48" s="64">
        <f t="array" ref="T48">IF(Q48="",0,IF(COUNTIF(G:G,Q48)&gt;=3,LARGE(IF($G:$G=Q48,$AI:$AI),3),0))</f>
        <v>0</v>
      </c>
      <c r="U48" s="64">
        <f t="shared" si="6"/>
        <v>0</v>
      </c>
      <c r="V48">
        <v>42</v>
      </c>
      <c r="X48" s="9" t="str">
        <f>VLOOKUP(C48,'Round 1'!$D:$G,4,FALSE)</f>
        <v/>
      </c>
      <c r="Y48" s="1" t="str">
        <f>IF(COUNTIF('Round 2'!$D:$D,C48)=1,VLOOKUP(C48,'Round 2'!$D:$G,4,FALSE),"")</f>
        <v/>
      </c>
      <c r="Z48" s="1" t="str">
        <f>IF(COUNTIF('Round 3'!$D:$D,C48)=1,VLOOKUP(C48,'Round 3'!$D:$G,4,FALSE),"")</f>
        <v/>
      </c>
      <c r="AA48" s="10" t="str">
        <f>IF(COUNTIF('Round 4'!$D:$D,C48)=1,VLOOKUP(C48,'Round 4'!$D:$G,4,FALSE),"")</f>
        <v/>
      </c>
      <c r="AC48">
        <f>G4</f>
        <v>5</v>
      </c>
      <c r="AD48" s="9" t="str">
        <f>IF(C48="","",IF(COUNTIF('Round 1'!$D:$D,C48)=1,IF(VLOOKUP(C48,'Round 1'!$D:$Q,14,FALSE)="",0,IF(AC48&gt;=1,(VLOOKUP(C48,'Round 1'!$D:$Q,14,FALSE)*10000)+VLOOKUP(C48,'Round 1'!$D:$K,8,FALSE),0)),0))</f>
        <v/>
      </c>
      <c r="AE48" s="1" t="str">
        <f>IF(C48="","",IF(COUNTIF('Round 2'!$D:$D,C48)=1,IF(VLOOKUP(C48,'Round 2'!$D:$Q,14,FALSE)="",0,IF(AC48&gt;=2,(VLOOKUP(C48,'Round 2'!$D:$Q,14,FALSE)*10000)+VLOOKUP(C48,'Round 2'!$D:$K,8,FALSE),0)),0))</f>
        <v/>
      </c>
      <c r="AF48" s="1" t="str">
        <f>IF(C48="","",IF(COUNTIF('Round 3'!$D:$D,C48)=1,IF(VLOOKUP(C48,'Round 3'!$D:$Q,14,FALSE)="",0,IF(AC48&gt;=3,(VLOOKUP(C48,'Round 3'!$D:$Q,14,FALSE)*10000)+VLOOKUP(C48,'Round 3'!$D:$K,8,FALSE),0)),0))</f>
        <v/>
      </c>
      <c r="AG48" s="1" t="str">
        <f>IF(C48="","",IF(COUNTIF('Round 4'!$D:$D,C48)=1,IF(VLOOKUP(C48,'Round 4'!$D:$Q,14,FALSE)="",0,IF(AC48&gt;=4,(VLOOKUP(C48,'Round 4'!$D:$Q,14,FALSE)*10000)+VLOOKUP(C48,'Round 4'!$D:$K,8,FALSE),0)),0))</f>
        <v/>
      </c>
      <c r="AH48" s="30" t="str">
        <f>IF(C48="","",IF(COUNTIF('Round 5'!$D:$D,C48)=1,IF(VLOOKUP(C48,'Round 5'!$D:$Q,14,FALSE)="",0,IF(AC48&gt;=5,(VLOOKUP(C48,'Round 5'!$D:$Q,14,FALSE)*10000)+VLOOKUP(C48,'Round 5'!$D:$K,8,FALSE),0)),0))</f>
        <v/>
      </c>
      <c r="AI48" s="58" t="str">
        <f t="shared" si="8"/>
        <v/>
      </c>
      <c r="AJ48" s="59" t="str">
        <f t="shared" si="9"/>
        <v/>
      </c>
    </row>
    <row r="49" spans="2:36" ht="15" thickBot="1" x14ac:dyDescent="0.35">
      <c r="B49" s="54" t="str">
        <f t="shared" si="3"/>
        <v/>
      </c>
      <c r="C49" s="9" t="str">
        <f t="shared" si="7"/>
        <v/>
      </c>
      <c r="D49" s="70"/>
      <c r="E49" s="71"/>
      <c r="F49" s="70"/>
      <c r="G49" s="72"/>
      <c r="H49" s="73"/>
      <c r="I49" s="64">
        <f t="array" ref="I49">IF(H49&lt;&gt;"UCM",0,IF(AI49=LARGE(IF($H:$H="UCM",$AI:$AI,""),1),1,0))</f>
        <v>0</v>
      </c>
      <c r="J49" s="64">
        <f t="array" ref="J49">IF(H49&lt;&gt;"Scourge",0,IF(AI49=LARGE(IF($H:$H="Scourge",$AI:$AI,""),1),1,0))</f>
        <v>0</v>
      </c>
      <c r="K49" s="64">
        <f t="array" ref="K49">IF(H49&lt;&gt;"PHR",0,IF(AI49=LARGE(IF($H:$H="PHR",$AI:$AI,""),1),1,0))</f>
        <v>0</v>
      </c>
      <c r="L49" s="64">
        <f t="array" ref="L49">IF(H49&lt;&gt;"Shaltari",0,IF(AI49=LARGE(IF($H:$H="Shaltari",$AI:$AI,""),1),1,0))</f>
        <v>0</v>
      </c>
      <c r="M49" s="64">
        <f t="array" ref="M49">IF(H49&lt;&gt;"Resistance",0,IF(AI49=LARGE(IF($H:$H="Resistance",$AI:$AI,""),1),1,0))</f>
        <v>0</v>
      </c>
      <c r="N49" s="64">
        <f t="shared" si="4"/>
        <v>0</v>
      </c>
      <c r="O49" s="35"/>
      <c r="P49" s="64" t="str">
        <f t="shared" si="5"/>
        <v/>
      </c>
      <c r="Q49" s="79"/>
      <c r="R49" s="64">
        <f t="array" ref="R49">IF(Q49="",0,IF(COUNTIF(G:G,Q49)&gt;=1,LARGE(IF($G:$G=Q49,$AI:$AI),1),0))</f>
        <v>0</v>
      </c>
      <c r="S49" s="64">
        <f t="array" ref="S49">IF(Q49="",0,IF(COUNTIF(G:G,Q49)&gt;=2,LARGE(IF($G:$G=Q49,$AI:$AI),2),0))</f>
        <v>0</v>
      </c>
      <c r="T49" s="64">
        <f t="array" ref="T49">IF(Q49="",0,IF(COUNTIF(G:G,Q49)&gt;=3,LARGE(IF($G:$G=Q49,$AI:$AI),3),0))</f>
        <v>0</v>
      </c>
      <c r="U49" s="64">
        <f t="shared" si="6"/>
        <v>0</v>
      </c>
      <c r="V49">
        <v>43</v>
      </c>
      <c r="X49" s="9" t="str">
        <f>VLOOKUP(C49,'Round 1'!$D:$G,4,FALSE)</f>
        <v/>
      </c>
      <c r="Y49" s="1" t="str">
        <f>IF(COUNTIF('Round 2'!$D:$D,C49)=1,VLOOKUP(C49,'Round 2'!$D:$G,4,FALSE),"")</f>
        <v/>
      </c>
      <c r="Z49" s="1" t="str">
        <f>IF(COUNTIF('Round 3'!$D:$D,C49)=1,VLOOKUP(C49,'Round 3'!$D:$G,4,FALSE),"")</f>
        <v/>
      </c>
      <c r="AA49" s="10" t="str">
        <f>IF(COUNTIF('Round 4'!$D:$D,C49)=1,VLOOKUP(C49,'Round 4'!$D:$G,4,FALSE),"")</f>
        <v/>
      </c>
      <c r="AC49">
        <f>G4</f>
        <v>5</v>
      </c>
      <c r="AD49" s="9" t="str">
        <f>IF(C49="","",IF(COUNTIF('Round 1'!$D:$D,C49)=1,IF(VLOOKUP(C49,'Round 1'!$D:$Q,14,FALSE)="",0,IF(AC49&gt;=1,(VLOOKUP(C49,'Round 1'!$D:$Q,14,FALSE)*10000)+VLOOKUP(C49,'Round 1'!$D:$K,8,FALSE),0)),0))</f>
        <v/>
      </c>
      <c r="AE49" s="1" t="str">
        <f>IF(C49="","",IF(COUNTIF('Round 2'!$D:$D,C49)=1,IF(VLOOKUP(C49,'Round 2'!$D:$Q,14,FALSE)="",0,IF(AC49&gt;=2,(VLOOKUP(C49,'Round 2'!$D:$Q,14,FALSE)*10000)+VLOOKUP(C49,'Round 2'!$D:$K,8,FALSE),0)),0))</f>
        <v/>
      </c>
      <c r="AF49" s="1" t="str">
        <f>IF(C49="","",IF(COUNTIF('Round 3'!$D:$D,C49)=1,IF(VLOOKUP(C49,'Round 3'!$D:$Q,14,FALSE)="",0,IF(AC49&gt;=3,(VLOOKUP(C49,'Round 3'!$D:$Q,14,FALSE)*10000)+VLOOKUP(C49,'Round 3'!$D:$K,8,FALSE),0)),0))</f>
        <v/>
      </c>
      <c r="AG49" s="1" t="str">
        <f>IF(C49="","",IF(COUNTIF('Round 4'!$D:$D,C49)=1,IF(VLOOKUP(C49,'Round 4'!$D:$Q,14,FALSE)="",0,IF(AC49&gt;=4,(VLOOKUP(C49,'Round 4'!$D:$Q,14,FALSE)*10000)+VLOOKUP(C49,'Round 4'!$D:$K,8,FALSE),0)),0))</f>
        <v/>
      </c>
      <c r="AH49" s="30" t="str">
        <f>IF(C49="","",IF(COUNTIF('Round 5'!$D:$D,C49)=1,IF(VLOOKUP(C49,'Round 5'!$D:$Q,14,FALSE)="",0,IF(AC49&gt;=5,(VLOOKUP(C49,'Round 5'!$D:$Q,14,FALSE)*10000)+VLOOKUP(C49,'Round 5'!$D:$K,8,FALSE),0)),0))</f>
        <v/>
      </c>
      <c r="AI49" s="58" t="str">
        <f t="shared" si="8"/>
        <v/>
      </c>
      <c r="AJ49" s="59" t="str">
        <f t="shared" si="9"/>
        <v/>
      </c>
    </row>
    <row r="50" spans="2:36" ht="15" thickBot="1" x14ac:dyDescent="0.35">
      <c r="B50" s="54" t="str">
        <f t="shared" si="3"/>
        <v/>
      </c>
      <c r="C50" s="9" t="str">
        <f t="shared" si="7"/>
        <v/>
      </c>
      <c r="D50" s="70"/>
      <c r="E50" s="71"/>
      <c r="F50" s="70"/>
      <c r="G50" s="72"/>
      <c r="H50" s="73"/>
      <c r="I50" s="64">
        <f t="array" ref="I50">IF(H50&lt;&gt;"UCM",0,IF(AI50=LARGE(IF($H:$H="UCM",$AI:$AI,""),1),1,0))</f>
        <v>0</v>
      </c>
      <c r="J50" s="64">
        <f t="array" ref="J50">IF(H50&lt;&gt;"Scourge",0,IF(AI50=LARGE(IF($H:$H="Scourge",$AI:$AI,""),1),1,0))</f>
        <v>0</v>
      </c>
      <c r="K50" s="64">
        <f t="array" ref="K50">IF(H50&lt;&gt;"PHR",0,IF(AI50=LARGE(IF($H:$H="PHR",$AI:$AI,""),1),1,0))</f>
        <v>0</v>
      </c>
      <c r="L50" s="64">
        <f t="array" ref="L50">IF(H50&lt;&gt;"Shaltari",0,IF(AI50=LARGE(IF($H:$H="Shaltari",$AI:$AI,""),1),1,0))</f>
        <v>0</v>
      </c>
      <c r="M50" s="64">
        <f t="array" ref="M50">IF(H50&lt;&gt;"Resistance",0,IF(AI50=LARGE(IF($H:$H="Resistance",$AI:$AI,""),1),1,0))</f>
        <v>0</v>
      </c>
      <c r="N50" s="64">
        <f t="shared" si="4"/>
        <v>0</v>
      </c>
      <c r="O50" s="35"/>
      <c r="P50" s="64" t="str">
        <f t="shared" si="5"/>
        <v/>
      </c>
      <c r="Q50" s="79"/>
      <c r="R50" s="64">
        <f t="array" ref="R50">IF(Q50="",0,IF(COUNTIF(G:G,Q50)&gt;=1,LARGE(IF($G:$G=Q50,$AI:$AI),1),0))</f>
        <v>0</v>
      </c>
      <c r="S50" s="64">
        <f t="array" ref="S50">IF(Q50="",0,IF(COUNTIF(G:G,Q50)&gt;=2,LARGE(IF($G:$G=Q50,$AI:$AI),2),0))</f>
        <v>0</v>
      </c>
      <c r="T50" s="64">
        <f t="array" ref="T50">IF(Q50="",0,IF(COUNTIF(G:G,Q50)&gt;=3,LARGE(IF($G:$G=Q50,$AI:$AI),3),0))</f>
        <v>0</v>
      </c>
      <c r="U50" s="64">
        <f t="shared" si="6"/>
        <v>0</v>
      </c>
      <c r="V50">
        <v>44</v>
      </c>
      <c r="X50" s="9" t="str">
        <f>VLOOKUP(C50,'Round 1'!$D:$G,4,FALSE)</f>
        <v/>
      </c>
      <c r="Y50" s="1" t="str">
        <f>IF(COUNTIF('Round 2'!$D:$D,C50)=1,VLOOKUP(C50,'Round 2'!$D:$G,4,FALSE),"")</f>
        <v/>
      </c>
      <c r="Z50" s="1" t="str">
        <f>IF(COUNTIF('Round 3'!$D:$D,C50)=1,VLOOKUP(C50,'Round 3'!$D:$G,4,FALSE),"")</f>
        <v/>
      </c>
      <c r="AA50" s="10" t="str">
        <f>IF(COUNTIF('Round 4'!$D:$D,C50)=1,VLOOKUP(C50,'Round 4'!$D:$G,4,FALSE),"")</f>
        <v/>
      </c>
      <c r="AC50">
        <f>G4</f>
        <v>5</v>
      </c>
      <c r="AD50" s="9" t="str">
        <f>IF(C50="","",IF(COUNTIF('Round 1'!$D:$D,C50)=1,IF(VLOOKUP(C50,'Round 1'!$D:$Q,14,FALSE)="",0,IF(AC50&gt;=1,(VLOOKUP(C50,'Round 1'!$D:$Q,14,FALSE)*10000)+VLOOKUP(C50,'Round 1'!$D:$K,8,FALSE),0)),0))</f>
        <v/>
      </c>
      <c r="AE50" s="1" t="str">
        <f>IF(C50="","",IF(COUNTIF('Round 2'!$D:$D,C50)=1,IF(VLOOKUP(C50,'Round 2'!$D:$Q,14,FALSE)="",0,IF(AC50&gt;=2,(VLOOKUP(C50,'Round 2'!$D:$Q,14,FALSE)*10000)+VLOOKUP(C50,'Round 2'!$D:$K,8,FALSE),0)),0))</f>
        <v/>
      </c>
      <c r="AF50" s="1" t="str">
        <f>IF(C50="","",IF(COUNTIF('Round 3'!$D:$D,C50)=1,IF(VLOOKUP(C50,'Round 3'!$D:$Q,14,FALSE)="",0,IF(AC50&gt;=3,(VLOOKUP(C50,'Round 3'!$D:$Q,14,FALSE)*10000)+VLOOKUP(C50,'Round 3'!$D:$K,8,FALSE),0)),0))</f>
        <v/>
      </c>
      <c r="AG50" s="1" t="str">
        <f>IF(C50="","",IF(COUNTIF('Round 4'!$D:$D,C50)=1,IF(VLOOKUP(C50,'Round 4'!$D:$Q,14,FALSE)="",0,IF(AC50&gt;=4,(VLOOKUP(C50,'Round 4'!$D:$Q,14,FALSE)*10000)+VLOOKUP(C50,'Round 4'!$D:$K,8,FALSE),0)),0))</f>
        <v/>
      </c>
      <c r="AH50" s="30" t="str">
        <f>IF(C50="","",IF(COUNTIF('Round 5'!$D:$D,C50)=1,IF(VLOOKUP(C50,'Round 5'!$D:$Q,14,FALSE)="",0,IF(AC50&gt;=5,(VLOOKUP(C50,'Round 5'!$D:$Q,14,FALSE)*10000)+VLOOKUP(C50,'Round 5'!$D:$K,8,FALSE),0)),0))</f>
        <v/>
      </c>
      <c r="AI50" s="58" t="str">
        <f t="shared" si="8"/>
        <v/>
      </c>
      <c r="AJ50" s="59" t="str">
        <f t="shared" si="9"/>
        <v/>
      </c>
    </row>
    <row r="51" spans="2:36" ht="15" thickBot="1" x14ac:dyDescent="0.35">
      <c r="B51" s="54" t="str">
        <f t="shared" si="3"/>
        <v/>
      </c>
      <c r="C51" s="9" t="str">
        <f t="shared" si="7"/>
        <v/>
      </c>
      <c r="D51" s="70"/>
      <c r="E51" s="71"/>
      <c r="F51" s="70"/>
      <c r="G51" s="72"/>
      <c r="H51" s="73"/>
      <c r="I51" s="64">
        <f t="array" ref="I51">IF(H51&lt;&gt;"UCM",0,IF(AI51=LARGE(IF($H:$H="UCM",$AI:$AI,""),1),1,0))</f>
        <v>0</v>
      </c>
      <c r="J51" s="64">
        <f t="array" ref="J51">IF(H51&lt;&gt;"Scourge",0,IF(AI51=LARGE(IF($H:$H="Scourge",$AI:$AI,""),1),1,0))</f>
        <v>0</v>
      </c>
      <c r="K51" s="64">
        <f t="array" ref="K51">IF(H51&lt;&gt;"PHR",0,IF(AI51=LARGE(IF($H:$H="PHR",$AI:$AI,""),1),1,0))</f>
        <v>0</v>
      </c>
      <c r="L51" s="64">
        <f t="array" ref="L51">IF(H51&lt;&gt;"Shaltari",0,IF(AI51=LARGE(IF($H:$H="Shaltari",$AI:$AI,""),1),1,0))</f>
        <v>0</v>
      </c>
      <c r="M51" s="64">
        <f t="array" ref="M51">IF(H51&lt;&gt;"Resistance",0,IF(AI51=LARGE(IF($H:$H="Resistance",$AI:$AI,""),1),1,0))</f>
        <v>0</v>
      </c>
      <c r="N51" s="64">
        <f t="shared" si="4"/>
        <v>0</v>
      </c>
      <c r="O51" s="35"/>
      <c r="P51" s="64" t="str">
        <f t="shared" si="5"/>
        <v/>
      </c>
      <c r="Q51" s="79"/>
      <c r="R51" s="64">
        <f t="array" ref="R51">IF(Q51="",0,IF(COUNTIF(G:G,Q51)&gt;=1,LARGE(IF($G:$G=Q51,$AI:$AI),1),0))</f>
        <v>0</v>
      </c>
      <c r="S51" s="64">
        <f t="array" ref="S51">IF(Q51="",0,IF(COUNTIF(G:G,Q51)&gt;=2,LARGE(IF($G:$G=Q51,$AI:$AI),2),0))</f>
        <v>0</v>
      </c>
      <c r="T51" s="64">
        <f t="array" ref="T51">IF(Q51="",0,IF(COUNTIF(G:G,Q51)&gt;=3,LARGE(IF($G:$G=Q51,$AI:$AI),3),0))</f>
        <v>0</v>
      </c>
      <c r="U51" s="64">
        <f t="shared" si="6"/>
        <v>0</v>
      </c>
      <c r="V51">
        <v>45</v>
      </c>
      <c r="X51" s="9" t="str">
        <f>VLOOKUP(C51,'Round 1'!$D:$G,4,FALSE)</f>
        <v/>
      </c>
      <c r="Y51" s="1" t="str">
        <f>IF(COUNTIF('Round 2'!$D:$D,C51)=1,VLOOKUP(C51,'Round 2'!$D:$G,4,FALSE),"")</f>
        <v/>
      </c>
      <c r="Z51" s="1" t="str">
        <f>IF(COUNTIF('Round 3'!$D:$D,C51)=1,VLOOKUP(C51,'Round 3'!$D:$G,4,FALSE),"")</f>
        <v/>
      </c>
      <c r="AA51" s="10" t="str">
        <f>IF(COUNTIF('Round 4'!$D:$D,C51)=1,VLOOKUP(C51,'Round 4'!$D:$G,4,FALSE),"")</f>
        <v/>
      </c>
      <c r="AC51">
        <f>G4</f>
        <v>5</v>
      </c>
      <c r="AD51" s="9" t="str">
        <f>IF(C51="","",IF(COUNTIF('Round 1'!$D:$D,C51)=1,IF(VLOOKUP(C51,'Round 1'!$D:$Q,14,FALSE)="",0,IF(AC51&gt;=1,(VLOOKUP(C51,'Round 1'!$D:$Q,14,FALSE)*10000)+VLOOKUP(C51,'Round 1'!$D:$K,8,FALSE),0)),0))</f>
        <v/>
      </c>
      <c r="AE51" s="1" t="str">
        <f>IF(C51="","",IF(COUNTIF('Round 2'!$D:$D,C51)=1,IF(VLOOKUP(C51,'Round 2'!$D:$Q,14,FALSE)="",0,IF(AC51&gt;=2,(VLOOKUP(C51,'Round 2'!$D:$Q,14,FALSE)*10000)+VLOOKUP(C51,'Round 2'!$D:$K,8,FALSE),0)),0))</f>
        <v/>
      </c>
      <c r="AF51" s="1" t="str">
        <f>IF(C51="","",IF(COUNTIF('Round 3'!$D:$D,C51)=1,IF(VLOOKUP(C51,'Round 3'!$D:$Q,14,FALSE)="",0,IF(AC51&gt;=3,(VLOOKUP(C51,'Round 3'!$D:$Q,14,FALSE)*10000)+VLOOKUP(C51,'Round 3'!$D:$K,8,FALSE),0)),0))</f>
        <v/>
      </c>
      <c r="AG51" s="1" t="str">
        <f>IF(C51="","",IF(COUNTIF('Round 4'!$D:$D,C51)=1,IF(VLOOKUP(C51,'Round 4'!$D:$Q,14,FALSE)="",0,IF(AC51&gt;=4,(VLOOKUP(C51,'Round 4'!$D:$Q,14,FALSE)*10000)+VLOOKUP(C51,'Round 4'!$D:$K,8,FALSE),0)),0))</f>
        <v/>
      </c>
      <c r="AH51" s="30" t="str">
        <f>IF(C51="","",IF(COUNTIF('Round 5'!$D:$D,C51)=1,IF(VLOOKUP(C51,'Round 5'!$D:$Q,14,FALSE)="",0,IF(AC51&gt;=5,(VLOOKUP(C51,'Round 5'!$D:$Q,14,FALSE)*10000)+VLOOKUP(C51,'Round 5'!$D:$K,8,FALSE),0)),0))</f>
        <v/>
      </c>
      <c r="AI51" s="58" t="str">
        <f t="shared" si="8"/>
        <v/>
      </c>
      <c r="AJ51" s="59" t="str">
        <f t="shared" si="9"/>
        <v/>
      </c>
    </row>
    <row r="52" spans="2:36" ht="15" thickBot="1" x14ac:dyDescent="0.35">
      <c r="B52" s="54" t="str">
        <f t="shared" si="3"/>
        <v/>
      </c>
      <c r="C52" s="9" t="str">
        <f t="shared" si="7"/>
        <v/>
      </c>
      <c r="D52" s="70"/>
      <c r="E52" s="71"/>
      <c r="F52" s="70"/>
      <c r="G52" s="72"/>
      <c r="H52" s="73"/>
      <c r="I52" s="64">
        <f t="array" ref="I52">IF(H52&lt;&gt;"UCM",0,IF(AI52=LARGE(IF($H:$H="UCM",$AI:$AI,""),1),1,0))</f>
        <v>0</v>
      </c>
      <c r="J52" s="64">
        <f t="array" ref="J52">IF(H52&lt;&gt;"Scourge",0,IF(AI52=LARGE(IF($H:$H="Scourge",$AI:$AI,""),1),1,0))</f>
        <v>0</v>
      </c>
      <c r="K52" s="64">
        <f t="array" ref="K52">IF(H52&lt;&gt;"PHR",0,IF(AI52=LARGE(IF($H:$H="PHR",$AI:$AI,""),1),1,0))</f>
        <v>0</v>
      </c>
      <c r="L52" s="64">
        <f t="array" ref="L52">IF(H52&lt;&gt;"Shaltari",0,IF(AI52=LARGE(IF($H:$H="Shaltari",$AI:$AI,""),1),1,0))</f>
        <v>0</v>
      </c>
      <c r="M52" s="64">
        <f t="array" ref="M52">IF(H52&lt;&gt;"Resistance",0,IF(AI52=LARGE(IF($H:$H="Resistance",$AI:$AI,""),1),1,0))</f>
        <v>0</v>
      </c>
      <c r="N52" s="64">
        <f t="shared" si="4"/>
        <v>0</v>
      </c>
      <c r="O52" s="35"/>
      <c r="P52" s="64" t="str">
        <f t="shared" si="5"/>
        <v/>
      </c>
      <c r="Q52" s="79"/>
      <c r="R52" s="64">
        <f t="array" ref="R52">IF(Q52="",0,IF(COUNTIF(G:G,Q52)&gt;=1,LARGE(IF($G:$G=Q52,$AI:$AI),1),0))</f>
        <v>0</v>
      </c>
      <c r="S52" s="64">
        <f t="array" ref="S52">IF(Q52="",0,IF(COUNTIF(G:G,Q52)&gt;=2,LARGE(IF($G:$G=Q52,$AI:$AI),2),0))</f>
        <v>0</v>
      </c>
      <c r="T52" s="64">
        <f t="array" ref="T52">IF(Q52="",0,IF(COUNTIF(G:G,Q52)&gt;=3,LARGE(IF($G:$G=Q52,$AI:$AI),3),0))</f>
        <v>0</v>
      </c>
      <c r="U52" s="64">
        <f t="shared" si="6"/>
        <v>0</v>
      </c>
      <c r="V52">
        <v>46</v>
      </c>
      <c r="X52" s="9" t="str">
        <f>VLOOKUP(C52,'Round 1'!$D:$G,4,FALSE)</f>
        <v/>
      </c>
      <c r="Y52" s="1" t="str">
        <f>IF(COUNTIF('Round 2'!$D:$D,C52)=1,VLOOKUP(C52,'Round 2'!$D:$G,4,FALSE),"")</f>
        <v/>
      </c>
      <c r="Z52" s="1" t="str">
        <f>IF(COUNTIF('Round 3'!$D:$D,C52)=1,VLOOKUP(C52,'Round 3'!$D:$G,4,FALSE),"")</f>
        <v/>
      </c>
      <c r="AA52" s="10" t="str">
        <f>IF(COUNTIF('Round 4'!$D:$D,C52)=1,VLOOKUP(C52,'Round 4'!$D:$G,4,FALSE),"")</f>
        <v/>
      </c>
      <c r="AC52">
        <f>G4</f>
        <v>5</v>
      </c>
      <c r="AD52" s="9" t="str">
        <f>IF(C52="","",IF(COUNTIF('Round 1'!$D:$D,C52)=1,IF(VLOOKUP(C52,'Round 1'!$D:$Q,14,FALSE)="",0,IF(AC52&gt;=1,(VLOOKUP(C52,'Round 1'!$D:$Q,14,FALSE)*10000)+VLOOKUP(C52,'Round 1'!$D:$K,8,FALSE),0)),0))</f>
        <v/>
      </c>
      <c r="AE52" s="1" t="str">
        <f>IF(C52="","",IF(COUNTIF('Round 2'!$D:$D,C52)=1,IF(VLOOKUP(C52,'Round 2'!$D:$Q,14,FALSE)="",0,IF(AC52&gt;=2,(VLOOKUP(C52,'Round 2'!$D:$Q,14,FALSE)*10000)+VLOOKUP(C52,'Round 2'!$D:$K,8,FALSE),0)),0))</f>
        <v/>
      </c>
      <c r="AF52" s="1" t="str">
        <f>IF(C52="","",IF(COUNTIF('Round 3'!$D:$D,C52)=1,IF(VLOOKUP(C52,'Round 3'!$D:$Q,14,FALSE)="",0,IF(AC52&gt;=3,(VLOOKUP(C52,'Round 3'!$D:$Q,14,FALSE)*10000)+VLOOKUP(C52,'Round 3'!$D:$K,8,FALSE),0)),0))</f>
        <v/>
      </c>
      <c r="AG52" s="1" t="str">
        <f>IF(C52="","",IF(COUNTIF('Round 4'!$D:$D,C52)=1,IF(VLOOKUP(C52,'Round 4'!$D:$Q,14,FALSE)="",0,IF(AC52&gt;=4,(VLOOKUP(C52,'Round 4'!$D:$Q,14,FALSE)*10000)+VLOOKUP(C52,'Round 4'!$D:$K,8,FALSE),0)),0))</f>
        <v/>
      </c>
      <c r="AH52" s="30" t="str">
        <f>IF(C52="","",IF(COUNTIF('Round 5'!$D:$D,C52)=1,IF(VLOOKUP(C52,'Round 5'!$D:$Q,14,FALSE)="",0,IF(AC52&gt;=5,(VLOOKUP(C52,'Round 5'!$D:$Q,14,FALSE)*10000)+VLOOKUP(C52,'Round 5'!$D:$K,8,FALSE),0)),0))</f>
        <v/>
      </c>
      <c r="AI52" s="58" t="str">
        <f t="shared" si="8"/>
        <v/>
      </c>
      <c r="AJ52" s="59" t="str">
        <f t="shared" si="9"/>
        <v/>
      </c>
    </row>
    <row r="53" spans="2:36" ht="15" thickBot="1" x14ac:dyDescent="0.35">
      <c r="B53" s="54" t="str">
        <f t="shared" si="3"/>
        <v/>
      </c>
      <c r="C53" s="9" t="str">
        <f t="shared" si="7"/>
        <v/>
      </c>
      <c r="D53" s="70"/>
      <c r="E53" s="71"/>
      <c r="F53" s="70"/>
      <c r="G53" s="72"/>
      <c r="H53" s="73"/>
      <c r="I53" s="64">
        <f t="array" ref="I53">IF(H53&lt;&gt;"UCM",0,IF(AI53=LARGE(IF($H:$H="UCM",$AI:$AI,""),1),1,0))</f>
        <v>0</v>
      </c>
      <c r="J53" s="64">
        <f t="array" ref="J53">IF(H53&lt;&gt;"Scourge",0,IF(AI53=LARGE(IF($H:$H="Scourge",$AI:$AI,""),1),1,0))</f>
        <v>0</v>
      </c>
      <c r="K53" s="64">
        <f t="array" ref="K53">IF(H53&lt;&gt;"PHR",0,IF(AI53=LARGE(IF($H:$H="PHR",$AI:$AI,""),1),1,0))</f>
        <v>0</v>
      </c>
      <c r="L53" s="64">
        <f t="array" ref="L53">IF(H53&lt;&gt;"Shaltari",0,IF(AI53=LARGE(IF($H:$H="Shaltari",$AI:$AI,""),1),1,0))</f>
        <v>0</v>
      </c>
      <c r="M53" s="64">
        <f t="array" ref="M53">IF(H53&lt;&gt;"Resistance",0,IF(AI53=LARGE(IF($H:$H="Resistance",$AI:$AI,""),1),1,0))</f>
        <v>0</v>
      </c>
      <c r="N53" s="64">
        <f t="shared" si="4"/>
        <v>0</v>
      </c>
      <c r="O53" s="35"/>
      <c r="P53" s="64" t="str">
        <f t="shared" si="5"/>
        <v/>
      </c>
      <c r="Q53" s="79"/>
      <c r="R53" s="64">
        <f t="array" ref="R53">IF(Q53="",0,IF(COUNTIF(G:G,Q53)&gt;=1,LARGE(IF($G:$G=Q53,$AI:$AI),1),0))</f>
        <v>0</v>
      </c>
      <c r="S53" s="64">
        <f t="array" ref="S53">IF(Q53="",0,IF(COUNTIF(G:G,Q53)&gt;=2,LARGE(IF($G:$G=Q53,$AI:$AI),2),0))</f>
        <v>0</v>
      </c>
      <c r="T53" s="64">
        <f t="array" ref="T53">IF(Q53="",0,IF(COUNTIF(G:G,Q53)&gt;=3,LARGE(IF($G:$G=Q53,$AI:$AI),3),0))</f>
        <v>0</v>
      </c>
      <c r="U53" s="64">
        <f t="shared" si="6"/>
        <v>0</v>
      </c>
      <c r="V53">
        <v>47</v>
      </c>
      <c r="X53" s="9" t="str">
        <f>VLOOKUP(C53,'Round 1'!$D:$G,4,FALSE)</f>
        <v/>
      </c>
      <c r="Y53" s="1" t="str">
        <f>IF(COUNTIF('Round 2'!$D:$D,C53)=1,VLOOKUP(C53,'Round 2'!$D:$G,4,FALSE),"")</f>
        <v/>
      </c>
      <c r="Z53" s="1" t="str">
        <f>IF(COUNTIF('Round 3'!$D:$D,C53)=1,VLOOKUP(C53,'Round 3'!$D:$G,4,FALSE),"")</f>
        <v/>
      </c>
      <c r="AA53" s="10" t="str">
        <f>IF(COUNTIF('Round 4'!$D:$D,C53)=1,VLOOKUP(C53,'Round 4'!$D:$G,4,FALSE),"")</f>
        <v/>
      </c>
      <c r="AC53">
        <f>G4</f>
        <v>5</v>
      </c>
      <c r="AD53" s="9" t="str">
        <f>IF(C53="","",IF(COUNTIF('Round 1'!$D:$D,C53)=1,IF(VLOOKUP(C53,'Round 1'!$D:$Q,14,FALSE)="",0,IF(AC53&gt;=1,(VLOOKUP(C53,'Round 1'!$D:$Q,14,FALSE)*10000)+VLOOKUP(C53,'Round 1'!$D:$K,8,FALSE),0)),0))</f>
        <v/>
      </c>
      <c r="AE53" s="1" t="str">
        <f>IF(C53="","",IF(COUNTIF('Round 2'!$D:$D,C53)=1,IF(VLOOKUP(C53,'Round 2'!$D:$Q,14,FALSE)="",0,IF(AC53&gt;=2,(VLOOKUP(C53,'Round 2'!$D:$Q,14,FALSE)*10000)+VLOOKUP(C53,'Round 2'!$D:$K,8,FALSE),0)),0))</f>
        <v/>
      </c>
      <c r="AF53" s="1" t="str">
        <f>IF(C53="","",IF(COUNTIF('Round 3'!$D:$D,C53)=1,IF(VLOOKUP(C53,'Round 3'!$D:$Q,14,FALSE)="",0,IF(AC53&gt;=3,(VLOOKUP(C53,'Round 3'!$D:$Q,14,FALSE)*10000)+VLOOKUP(C53,'Round 3'!$D:$K,8,FALSE),0)),0))</f>
        <v/>
      </c>
      <c r="AG53" s="1" t="str">
        <f>IF(C53="","",IF(COUNTIF('Round 4'!$D:$D,C53)=1,IF(VLOOKUP(C53,'Round 4'!$D:$Q,14,FALSE)="",0,IF(AC53&gt;=4,(VLOOKUP(C53,'Round 4'!$D:$Q,14,FALSE)*10000)+VLOOKUP(C53,'Round 4'!$D:$K,8,FALSE),0)),0))</f>
        <v/>
      </c>
      <c r="AH53" s="30" t="str">
        <f>IF(C53="","",IF(COUNTIF('Round 5'!$D:$D,C53)=1,IF(VLOOKUP(C53,'Round 5'!$D:$Q,14,FALSE)="",0,IF(AC53&gt;=5,(VLOOKUP(C53,'Round 5'!$D:$Q,14,FALSE)*10000)+VLOOKUP(C53,'Round 5'!$D:$K,8,FALSE),0)),0))</f>
        <v/>
      </c>
      <c r="AI53" s="58" t="str">
        <f t="shared" si="8"/>
        <v/>
      </c>
      <c r="AJ53" s="59" t="str">
        <f t="shared" si="9"/>
        <v/>
      </c>
    </row>
    <row r="54" spans="2:36" ht="15" thickBot="1" x14ac:dyDescent="0.35">
      <c r="B54" s="54" t="str">
        <f t="shared" si="3"/>
        <v/>
      </c>
      <c r="C54" s="9" t="str">
        <f t="shared" si="7"/>
        <v/>
      </c>
      <c r="D54" s="70"/>
      <c r="E54" s="71"/>
      <c r="F54" s="70"/>
      <c r="G54" s="72"/>
      <c r="H54" s="73"/>
      <c r="I54" s="64">
        <f t="array" ref="I54">IF(H54&lt;&gt;"UCM",0,IF(AI54=LARGE(IF($H:$H="UCM",$AI:$AI,""),1),1,0))</f>
        <v>0</v>
      </c>
      <c r="J54" s="64">
        <f t="array" ref="J54">IF(H54&lt;&gt;"Scourge",0,IF(AI54=LARGE(IF($H:$H="Scourge",$AI:$AI,""),1),1,0))</f>
        <v>0</v>
      </c>
      <c r="K54" s="64">
        <f t="array" ref="K54">IF(H54&lt;&gt;"PHR",0,IF(AI54=LARGE(IF($H:$H="PHR",$AI:$AI,""),1),1,0))</f>
        <v>0</v>
      </c>
      <c r="L54" s="64">
        <f t="array" ref="L54">IF(H54&lt;&gt;"Shaltari",0,IF(AI54=LARGE(IF($H:$H="Shaltari",$AI:$AI,""),1),1,0))</f>
        <v>0</v>
      </c>
      <c r="M54" s="64">
        <f t="array" ref="M54">IF(H54&lt;&gt;"Resistance",0,IF(AI54=LARGE(IF($H:$H="Resistance",$AI:$AI,""),1),1,0))</f>
        <v>0</v>
      </c>
      <c r="N54" s="64">
        <f t="shared" si="4"/>
        <v>0</v>
      </c>
      <c r="O54" s="35"/>
      <c r="P54" s="64" t="str">
        <f t="shared" si="5"/>
        <v/>
      </c>
      <c r="Q54" s="79"/>
      <c r="R54" s="64">
        <f t="array" ref="R54">IF(Q54="",0,IF(COUNTIF(G:G,Q54)&gt;=1,LARGE(IF($G:$G=Q54,$AI:$AI),1),0))</f>
        <v>0</v>
      </c>
      <c r="S54" s="64">
        <f t="array" ref="S54">IF(Q54="",0,IF(COUNTIF(G:G,Q54)&gt;=2,LARGE(IF($G:$G=Q54,$AI:$AI),2),0))</f>
        <v>0</v>
      </c>
      <c r="T54" s="64">
        <f t="array" ref="T54">IF(Q54="",0,IF(COUNTIF(G:G,Q54)&gt;=3,LARGE(IF($G:$G=Q54,$AI:$AI),3),0))</f>
        <v>0</v>
      </c>
      <c r="U54" s="64">
        <f t="shared" si="6"/>
        <v>0</v>
      </c>
      <c r="V54">
        <v>48</v>
      </c>
      <c r="X54" s="9" t="str">
        <f>VLOOKUP(C54,'Round 1'!$D:$G,4,FALSE)</f>
        <v/>
      </c>
      <c r="Y54" s="1" t="str">
        <f>IF(COUNTIF('Round 2'!$D:$D,C54)=1,VLOOKUP(C54,'Round 2'!$D:$G,4,FALSE),"")</f>
        <v/>
      </c>
      <c r="Z54" s="1" t="str">
        <f>IF(COUNTIF('Round 3'!$D:$D,C54)=1,VLOOKUP(C54,'Round 3'!$D:$G,4,FALSE),"")</f>
        <v/>
      </c>
      <c r="AA54" s="10" t="str">
        <f>IF(COUNTIF('Round 4'!$D:$D,C54)=1,VLOOKUP(C54,'Round 4'!$D:$G,4,FALSE),"")</f>
        <v/>
      </c>
      <c r="AC54">
        <f>G4</f>
        <v>5</v>
      </c>
      <c r="AD54" s="9" t="str">
        <f>IF(C54="","",IF(COUNTIF('Round 1'!$D:$D,C54)=1,IF(VLOOKUP(C54,'Round 1'!$D:$Q,14,FALSE)="",0,IF(AC54&gt;=1,(VLOOKUP(C54,'Round 1'!$D:$Q,14,FALSE)*10000)+VLOOKUP(C54,'Round 1'!$D:$K,8,FALSE),0)),0))</f>
        <v/>
      </c>
      <c r="AE54" s="1" t="str">
        <f>IF(C54="","",IF(COUNTIF('Round 2'!$D:$D,C54)=1,IF(VLOOKUP(C54,'Round 2'!$D:$Q,14,FALSE)="",0,IF(AC54&gt;=2,(VLOOKUP(C54,'Round 2'!$D:$Q,14,FALSE)*10000)+VLOOKUP(C54,'Round 2'!$D:$K,8,FALSE),0)),0))</f>
        <v/>
      </c>
      <c r="AF54" s="1" t="str">
        <f>IF(C54="","",IF(COUNTIF('Round 3'!$D:$D,C54)=1,IF(VLOOKUP(C54,'Round 3'!$D:$Q,14,FALSE)="",0,IF(AC54&gt;=3,(VLOOKUP(C54,'Round 3'!$D:$Q,14,FALSE)*10000)+VLOOKUP(C54,'Round 3'!$D:$K,8,FALSE),0)),0))</f>
        <v/>
      </c>
      <c r="AG54" s="1" t="str">
        <f>IF(C54="","",IF(COUNTIF('Round 4'!$D:$D,C54)=1,IF(VLOOKUP(C54,'Round 4'!$D:$Q,14,FALSE)="",0,IF(AC54&gt;=4,(VLOOKUP(C54,'Round 4'!$D:$Q,14,FALSE)*10000)+VLOOKUP(C54,'Round 4'!$D:$K,8,FALSE),0)),0))</f>
        <v/>
      </c>
      <c r="AH54" s="30" t="str">
        <f>IF(C54="","",IF(COUNTIF('Round 5'!$D:$D,C54)=1,IF(VLOOKUP(C54,'Round 5'!$D:$Q,14,FALSE)="",0,IF(AC54&gt;=5,(VLOOKUP(C54,'Round 5'!$D:$Q,14,FALSE)*10000)+VLOOKUP(C54,'Round 5'!$D:$K,8,FALSE),0)),0))</f>
        <v/>
      </c>
      <c r="AI54" s="58" t="str">
        <f t="shared" si="8"/>
        <v/>
      </c>
      <c r="AJ54" s="59" t="str">
        <f t="shared" si="9"/>
        <v/>
      </c>
    </row>
    <row r="55" spans="2:36" ht="15" thickBot="1" x14ac:dyDescent="0.35">
      <c r="B55" s="54" t="str">
        <f t="shared" si="3"/>
        <v/>
      </c>
      <c r="C55" s="9" t="str">
        <f t="shared" si="7"/>
        <v/>
      </c>
      <c r="D55" s="70"/>
      <c r="E55" s="71"/>
      <c r="F55" s="70"/>
      <c r="G55" s="72"/>
      <c r="H55" s="73"/>
      <c r="I55" s="64">
        <f t="array" ref="I55">IF(H55&lt;&gt;"UCM",0,IF(AI55=LARGE(IF($H:$H="UCM",$AI:$AI,""),1),1,0))</f>
        <v>0</v>
      </c>
      <c r="J55" s="64">
        <f t="array" ref="J55">IF(H55&lt;&gt;"Scourge",0,IF(AI55=LARGE(IF($H:$H="Scourge",$AI:$AI,""),1),1,0))</f>
        <v>0</v>
      </c>
      <c r="K55" s="64">
        <f t="array" ref="K55">IF(H55&lt;&gt;"PHR",0,IF(AI55=LARGE(IF($H:$H="PHR",$AI:$AI,""),1),1,0))</f>
        <v>0</v>
      </c>
      <c r="L55" s="64">
        <f t="array" ref="L55">IF(H55&lt;&gt;"Shaltari",0,IF(AI55=LARGE(IF($H:$H="Shaltari",$AI:$AI,""),1),1,0))</f>
        <v>0</v>
      </c>
      <c r="M55" s="64">
        <f t="array" ref="M55">IF(H55&lt;&gt;"Resistance",0,IF(AI55=LARGE(IF($H:$H="Resistance",$AI:$AI,""),1),1,0))</f>
        <v>0</v>
      </c>
      <c r="N55" s="64">
        <f t="shared" si="4"/>
        <v>0</v>
      </c>
      <c r="O55" s="35"/>
      <c r="P55" s="64" t="str">
        <f t="shared" si="5"/>
        <v/>
      </c>
      <c r="Q55" s="79"/>
      <c r="R55" s="64">
        <f t="array" ref="R55">IF(Q55="",0,IF(COUNTIF(G:G,Q55)&gt;=1,LARGE(IF($G:$G=Q55,$AI:$AI),1),0))</f>
        <v>0</v>
      </c>
      <c r="S55" s="64">
        <f t="array" ref="S55">IF(Q55="",0,IF(COUNTIF(G:G,Q55)&gt;=2,LARGE(IF($G:$G=Q55,$AI:$AI),2),0))</f>
        <v>0</v>
      </c>
      <c r="T55" s="64">
        <f t="array" ref="T55">IF(Q55="",0,IF(COUNTIF(G:G,Q55)&gt;=3,LARGE(IF($G:$G=Q55,$AI:$AI),3),0))</f>
        <v>0</v>
      </c>
      <c r="U55" s="64">
        <f t="shared" si="6"/>
        <v>0</v>
      </c>
      <c r="V55">
        <v>49</v>
      </c>
      <c r="X55" s="9" t="str">
        <f>VLOOKUP(C55,'Round 1'!$D:$G,4,FALSE)</f>
        <v/>
      </c>
      <c r="Y55" s="1" t="str">
        <f>IF(COUNTIF('Round 2'!$D:$D,C55)=1,VLOOKUP(C55,'Round 2'!$D:$G,4,FALSE),"")</f>
        <v/>
      </c>
      <c r="Z55" s="1" t="str">
        <f>IF(COUNTIF('Round 3'!$D:$D,C55)=1,VLOOKUP(C55,'Round 3'!$D:$G,4,FALSE),"")</f>
        <v/>
      </c>
      <c r="AA55" s="10" t="str">
        <f>IF(COUNTIF('Round 4'!$D:$D,C55)=1,VLOOKUP(C55,'Round 4'!$D:$G,4,FALSE),"")</f>
        <v/>
      </c>
      <c r="AC55">
        <f>G4</f>
        <v>5</v>
      </c>
      <c r="AD55" s="9" t="str">
        <f>IF(C55="","",IF(COUNTIF('Round 1'!$D:$D,C55)=1,IF(VLOOKUP(C55,'Round 1'!$D:$Q,14,FALSE)="",0,IF(AC55&gt;=1,(VLOOKUP(C55,'Round 1'!$D:$Q,14,FALSE)*10000)+VLOOKUP(C55,'Round 1'!$D:$K,8,FALSE),0)),0))</f>
        <v/>
      </c>
      <c r="AE55" s="1" t="str">
        <f>IF(C55="","",IF(COUNTIF('Round 2'!$D:$D,C55)=1,IF(VLOOKUP(C55,'Round 2'!$D:$Q,14,FALSE)="",0,IF(AC55&gt;=2,(VLOOKUP(C55,'Round 2'!$D:$Q,14,FALSE)*10000)+VLOOKUP(C55,'Round 2'!$D:$K,8,FALSE),0)),0))</f>
        <v/>
      </c>
      <c r="AF55" s="1" t="str">
        <f>IF(C55="","",IF(COUNTIF('Round 3'!$D:$D,C55)=1,IF(VLOOKUP(C55,'Round 3'!$D:$Q,14,FALSE)="",0,IF(AC55&gt;=3,(VLOOKUP(C55,'Round 3'!$D:$Q,14,FALSE)*10000)+VLOOKUP(C55,'Round 3'!$D:$K,8,FALSE),0)),0))</f>
        <v/>
      </c>
      <c r="AG55" s="1" t="str">
        <f>IF(C55="","",IF(COUNTIF('Round 4'!$D:$D,C55)=1,IF(VLOOKUP(C55,'Round 4'!$D:$Q,14,FALSE)="",0,IF(AC55&gt;=4,(VLOOKUP(C55,'Round 4'!$D:$Q,14,FALSE)*10000)+VLOOKUP(C55,'Round 4'!$D:$K,8,FALSE),0)),0))</f>
        <v/>
      </c>
      <c r="AH55" s="30" t="str">
        <f>IF(C55="","",IF(COUNTIF('Round 5'!$D:$D,C55)=1,IF(VLOOKUP(C55,'Round 5'!$D:$Q,14,FALSE)="",0,IF(AC55&gt;=5,(VLOOKUP(C55,'Round 5'!$D:$Q,14,FALSE)*10000)+VLOOKUP(C55,'Round 5'!$D:$K,8,FALSE),0)),0))</f>
        <v/>
      </c>
      <c r="AI55" s="58" t="str">
        <f t="shared" si="8"/>
        <v/>
      </c>
      <c r="AJ55" s="59" t="str">
        <f t="shared" si="9"/>
        <v/>
      </c>
    </row>
    <row r="56" spans="2:36" ht="15" thickBot="1" x14ac:dyDescent="0.35">
      <c r="B56" s="54" t="str">
        <f t="shared" si="3"/>
        <v/>
      </c>
      <c r="C56" s="9" t="str">
        <f t="shared" si="7"/>
        <v/>
      </c>
      <c r="D56" s="70"/>
      <c r="E56" s="71"/>
      <c r="F56" s="70"/>
      <c r="G56" s="72"/>
      <c r="H56" s="73"/>
      <c r="I56" s="64">
        <f t="array" ref="I56">IF(H56&lt;&gt;"UCM",0,IF(AI56=LARGE(IF($H:$H="UCM",$AI:$AI,""),1),1,0))</f>
        <v>0</v>
      </c>
      <c r="J56" s="64">
        <f t="array" ref="J56">IF(H56&lt;&gt;"Scourge",0,IF(AI56=LARGE(IF($H:$H="Scourge",$AI:$AI,""),1),1,0))</f>
        <v>0</v>
      </c>
      <c r="K56" s="64">
        <f t="array" ref="K56">IF(H56&lt;&gt;"PHR",0,IF(AI56=LARGE(IF($H:$H="PHR",$AI:$AI,""),1),1,0))</f>
        <v>0</v>
      </c>
      <c r="L56" s="64">
        <f t="array" ref="L56">IF(H56&lt;&gt;"Shaltari",0,IF(AI56=LARGE(IF($H:$H="Shaltari",$AI:$AI,""),1),1,0))</f>
        <v>0</v>
      </c>
      <c r="M56" s="64">
        <f t="array" ref="M56">IF(H56&lt;&gt;"Resistance",0,IF(AI56=LARGE(IF($H:$H="Resistance",$AI:$AI,""),1),1,0))</f>
        <v>0</v>
      </c>
      <c r="N56" s="64">
        <f t="shared" si="4"/>
        <v>0</v>
      </c>
      <c r="O56" s="35"/>
      <c r="P56" s="64" t="str">
        <f t="shared" si="5"/>
        <v/>
      </c>
      <c r="Q56" s="79"/>
      <c r="R56" s="64">
        <f t="array" ref="R56">IF(Q56="",0,IF(COUNTIF(G:G,Q56)&gt;=1,LARGE(IF($G:$G=Q56,$AI:$AI),1),0))</f>
        <v>0</v>
      </c>
      <c r="S56" s="64">
        <f t="array" ref="S56">IF(Q56="",0,IF(COUNTIF(G:G,Q56)&gt;=2,LARGE(IF($G:$G=Q56,$AI:$AI),2),0))</f>
        <v>0</v>
      </c>
      <c r="T56" s="64">
        <f t="array" ref="T56">IF(Q56="",0,IF(COUNTIF(G:G,Q56)&gt;=3,LARGE(IF($G:$G=Q56,$AI:$AI),3),0))</f>
        <v>0</v>
      </c>
      <c r="U56" s="64">
        <f t="shared" si="6"/>
        <v>0</v>
      </c>
      <c r="V56">
        <v>50</v>
      </c>
      <c r="X56" s="9" t="str">
        <f>VLOOKUP(C56,'Round 1'!$D:$G,4,FALSE)</f>
        <v/>
      </c>
      <c r="Y56" s="1" t="str">
        <f>IF(COUNTIF('Round 2'!$D:$D,C56)=1,VLOOKUP(C56,'Round 2'!$D:$G,4,FALSE),"")</f>
        <v/>
      </c>
      <c r="Z56" s="1" t="str">
        <f>IF(COUNTIF('Round 3'!$D:$D,C56)=1,VLOOKUP(C56,'Round 3'!$D:$G,4,FALSE),"")</f>
        <v/>
      </c>
      <c r="AA56" s="10" t="str">
        <f>IF(COUNTIF('Round 4'!$D:$D,C56)=1,VLOOKUP(C56,'Round 4'!$D:$G,4,FALSE),"")</f>
        <v/>
      </c>
      <c r="AC56">
        <f>G4</f>
        <v>5</v>
      </c>
      <c r="AD56" s="9" t="str">
        <f>IF(C56="","",IF(COUNTIF('Round 1'!$D:$D,C56)=1,IF(VLOOKUP(C56,'Round 1'!$D:$Q,14,FALSE)="",0,IF(AC56&gt;=1,(VLOOKUP(C56,'Round 1'!$D:$Q,14,FALSE)*10000)+VLOOKUP(C56,'Round 1'!$D:$K,8,FALSE),0)),0))</f>
        <v/>
      </c>
      <c r="AE56" s="1" t="str">
        <f>IF(C56="","",IF(COUNTIF('Round 2'!$D:$D,C56)=1,IF(VLOOKUP(C56,'Round 2'!$D:$Q,14,FALSE)="",0,IF(AC56&gt;=2,(VLOOKUP(C56,'Round 2'!$D:$Q,14,FALSE)*10000)+VLOOKUP(C56,'Round 2'!$D:$K,8,FALSE),0)),0))</f>
        <v/>
      </c>
      <c r="AF56" s="1" t="str">
        <f>IF(C56="","",IF(COUNTIF('Round 3'!$D:$D,C56)=1,IF(VLOOKUP(C56,'Round 3'!$D:$Q,14,FALSE)="",0,IF(AC56&gt;=3,(VLOOKUP(C56,'Round 3'!$D:$Q,14,FALSE)*10000)+VLOOKUP(C56,'Round 3'!$D:$K,8,FALSE),0)),0))</f>
        <v/>
      </c>
      <c r="AG56" s="1" t="str">
        <f>IF(C56="","",IF(COUNTIF('Round 4'!$D:$D,C56)=1,IF(VLOOKUP(C56,'Round 4'!$D:$Q,14,FALSE)="",0,IF(AC56&gt;=4,(VLOOKUP(C56,'Round 4'!$D:$Q,14,FALSE)*10000)+VLOOKUP(C56,'Round 4'!$D:$K,8,FALSE),0)),0))</f>
        <v/>
      </c>
      <c r="AH56" s="30" t="str">
        <f>IF(C56="","",IF(COUNTIF('Round 5'!$D:$D,C56)=1,IF(VLOOKUP(C56,'Round 5'!$D:$Q,14,FALSE)="",0,IF(AC56&gt;=5,(VLOOKUP(C56,'Round 5'!$D:$Q,14,FALSE)*10000)+VLOOKUP(C56,'Round 5'!$D:$K,8,FALSE),0)),0))</f>
        <v/>
      </c>
      <c r="AI56" s="58" t="str">
        <f t="shared" si="8"/>
        <v/>
      </c>
      <c r="AJ56" s="59" t="str">
        <f t="shared" si="9"/>
        <v/>
      </c>
    </row>
    <row r="57" spans="2:36" ht="15" thickBot="1" x14ac:dyDescent="0.35">
      <c r="B57" s="54" t="str">
        <f t="shared" si="3"/>
        <v/>
      </c>
      <c r="C57" s="9" t="str">
        <f t="shared" si="7"/>
        <v/>
      </c>
      <c r="D57" s="70"/>
      <c r="E57" s="71"/>
      <c r="F57" s="70"/>
      <c r="G57" s="72"/>
      <c r="H57" s="73"/>
      <c r="I57" s="64">
        <f t="array" ref="I57">IF(H57&lt;&gt;"UCM",0,IF(AI57=LARGE(IF($H:$H="UCM",$AI:$AI,""),1),1,0))</f>
        <v>0</v>
      </c>
      <c r="J57" s="64">
        <f t="array" ref="J57">IF(H57&lt;&gt;"Scourge",0,IF(AI57=LARGE(IF($H:$H="Scourge",$AI:$AI,""),1),1,0))</f>
        <v>0</v>
      </c>
      <c r="K57" s="64">
        <f t="array" ref="K57">IF(H57&lt;&gt;"PHR",0,IF(AI57=LARGE(IF($H:$H="PHR",$AI:$AI,""),1),1,0))</f>
        <v>0</v>
      </c>
      <c r="L57" s="64">
        <f t="array" ref="L57">IF(H57&lt;&gt;"Shaltari",0,IF(AI57=LARGE(IF($H:$H="Shaltari",$AI:$AI,""),1),1,0))</f>
        <v>0</v>
      </c>
      <c r="M57" s="64">
        <f t="array" ref="M57">IF(H57&lt;&gt;"Resistance",0,IF(AI57=LARGE(IF($H:$H="Resistance",$AI:$AI,""),1),1,0))</f>
        <v>0</v>
      </c>
      <c r="N57" s="64">
        <f t="shared" si="4"/>
        <v>0</v>
      </c>
      <c r="O57" s="35"/>
      <c r="P57" s="64" t="str">
        <f t="shared" si="5"/>
        <v/>
      </c>
      <c r="Q57" s="79"/>
      <c r="R57" s="64">
        <f t="array" ref="R57">IF(Q57="",0,IF(COUNTIF(G:G,Q57)&gt;=1,LARGE(IF($G:$G=Q57,$AI:$AI),1),0))</f>
        <v>0</v>
      </c>
      <c r="S57" s="64">
        <f t="array" ref="S57">IF(Q57="",0,IF(COUNTIF(G:G,Q57)&gt;=2,LARGE(IF($G:$G=Q57,$AI:$AI),2),0))</f>
        <v>0</v>
      </c>
      <c r="T57" s="64">
        <f t="array" ref="T57">IF(Q57="",0,IF(COUNTIF(G:G,Q57)&gt;=3,LARGE(IF($G:$G=Q57,$AI:$AI),3),0))</f>
        <v>0</v>
      </c>
      <c r="U57" s="64">
        <f t="shared" si="6"/>
        <v>0</v>
      </c>
      <c r="V57">
        <v>51</v>
      </c>
      <c r="X57" s="9" t="str">
        <f>VLOOKUP(C57,'Round 1'!$D:$G,4,FALSE)</f>
        <v/>
      </c>
      <c r="Y57" s="1" t="str">
        <f>IF(COUNTIF('Round 2'!$D:$D,C57)=1,VLOOKUP(C57,'Round 2'!$D:$G,4,FALSE),"")</f>
        <v/>
      </c>
      <c r="Z57" s="1" t="str">
        <f>IF(COUNTIF('Round 3'!$D:$D,C57)=1,VLOOKUP(C57,'Round 3'!$D:$G,4,FALSE),"")</f>
        <v/>
      </c>
      <c r="AA57" s="10" t="str">
        <f>IF(COUNTIF('Round 4'!$D:$D,C57)=1,VLOOKUP(C57,'Round 4'!$D:$G,4,FALSE),"")</f>
        <v/>
      </c>
      <c r="AC57">
        <f>G4</f>
        <v>5</v>
      </c>
      <c r="AD57" s="9" t="str">
        <f>IF(C57="","",IF(COUNTIF('Round 1'!$D:$D,C57)=1,IF(VLOOKUP(C57,'Round 1'!$D:$Q,14,FALSE)="",0,IF(AC57&gt;=1,(VLOOKUP(C57,'Round 1'!$D:$Q,14,FALSE)*10000)+VLOOKUP(C57,'Round 1'!$D:$K,8,FALSE),0)),0))</f>
        <v/>
      </c>
      <c r="AE57" s="1" t="str">
        <f>IF(C57="","",IF(COUNTIF('Round 2'!$D:$D,C57)=1,IF(VLOOKUP(C57,'Round 2'!$D:$Q,14,FALSE)="",0,IF(AC57&gt;=2,(VLOOKUP(C57,'Round 2'!$D:$Q,14,FALSE)*10000)+VLOOKUP(C57,'Round 2'!$D:$K,8,FALSE),0)),0))</f>
        <v/>
      </c>
      <c r="AF57" s="1" t="str">
        <f>IF(C57="","",IF(COUNTIF('Round 3'!$D:$D,C57)=1,IF(VLOOKUP(C57,'Round 3'!$D:$Q,14,FALSE)="",0,IF(AC57&gt;=3,(VLOOKUP(C57,'Round 3'!$D:$Q,14,FALSE)*10000)+VLOOKUP(C57,'Round 3'!$D:$K,8,FALSE),0)),0))</f>
        <v/>
      </c>
      <c r="AG57" s="1" t="str">
        <f>IF(C57="","",IF(COUNTIF('Round 4'!$D:$D,C57)=1,IF(VLOOKUP(C57,'Round 4'!$D:$Q,14,FALSE)="",0,IF(AC57&gt;=4,(VLOOKUP(C57,'Round 4'!$D:$Q,14,FALSE)*10000)+VLOOKUP(C57,'Round 4'!$D:$K,8,FALSE),0)),0))</f>
        <v/>
      </c>
      <c r="AH57" s="30" t="str">
        <f>IF(C57="","",IF(COUNTIF('Round 5'!$D:$D,C57)=1,IF(VLOOKUP(C57,'Round 5'!$D:$Q,14,FALSE)="",0,IF(AC57&gt;=5,(VLOOKUP(C57,'Round 5'!$D:$Q,14,FALSE)*10000)+VLOOKUP(C57,'Round 5'!$D:$K,8,FALSE),0)),0))</f>
        <v/>
      </c>
      <c r="AI57" s="58" t="str">
        <f t="shared" si="8"/>
        <v/>
      </c>
      <c r="AJ57" s="59" t="str">
        <f t="shared" si="9"/>
        <v/>
      </c>
    </row>
    <row r="58" spans="2:36" ht="15" thickBot="1" x14ac:dyDescent="0.35">
      <c r="B58" s="54" t="str">
        <f t="shared" si="3"/>
        <v/>
      </c>
      <c r="C58" s="9" t="str">
        <f t="shared" si="7"/>
        <v/>
      </c>
      <c r="D58" s="70"/>
      <c r="E58" s="71"/>
      <c r="F58" s="70"/>
      <c r="G58" s="72"/>
      <c r="H58" s="73"/>
      <c r="I58" s="64">
        <f t="array" ref="I58">IF(H58&lt;&gt;"UCM",0,IF(AI58=LARGE(IF($H:$H="UCM",$AI:$AI,""),1),1,0))</f>
        <v>0</v>
      </c>
      <c r="J58" s="64">
        <f t="array" ref="J58">IF(H58&lt;&gt;"Scourge",0,IF(AI58=LARGE(IF($H:$H="Scourge",$AI:$AI,""),1),1,0))</f>
        <v>0</v>
      </c>
      <c r="K58" s="64">
        <f t="array" ref="K58">IF(H58&lt;&gt;"PHR",0,IF(AI58=LARGE(IF($H:$H="PHR",$AI:$AI,""),1),1,0))</f>
        <v>0</v>
      </c>
      <c r="L58" s="64">
        <f t="array" ref="L58">IF(H58&lt;&gt;"Shaltari",0,IF(AI58=LARGE(IF($H:$H="Shaltari",$AI:$AI,""),1),1,0))</f>
        <v>0</v>
      </c>
      <c r="M58" s="64">
        <f t="array" ref="M58">IF(H58&lt;&gt;"Resistance",0,IF(AI58=LARGE(IF($H:$H="Resistance",$AI:$AI,""),1),1,0))</f>
        <v>0</v>
      </c>
      <c r="N58" s="64">
        <f t="shared" si="4"/>
        <v>0</v>
      </c>
      <c r="O58" s="35"/>
      <c r="P58" s="64" t="str">
        <f t="shared" si="5"/>
        <v/>
      </c>
      <c r="Q58" s="79"/>
      <c r="R58" s="64">
        <f t="array" ref="R58">IF(Q58="",0,IF(COUNTIF(G:G,Q58)&gt;=1,LARGE(IF($G:$G=Q58,$AI:$AI),1),0))</f>
        <v>0</v>
      </c>
      <c r="S58" s="64">
        <f t="array" ref="S58">IF(Q58="",0,IF(COUNTIF(G:G,Q58)&gt;=2,LARGE(IF($G:$G=Q58,$AI:$AI),2),0))</f>
        <v>0</v>
      </c>
      <c r="T58" s="64">
        <f t="array" ref="T58">IF(Q58="",0,IF(COUNTIF(G:G,Q58)&gt;=3,LARGE(IF($G:$G=Q58,$AI:$AI),3),0))</f>
        <v>0</v>
      </c>
      <c r="U58" s="64">
        <f t="shared" si="6"/>
        <v>0</v>
      </c>
      <c r="V58">
        <v>52</v>
      </c>
      <c r="X58" s="9" t="str">
        <f>VLOOKUP(C58,'Round 1'!$D:$G,4,FALSE)</f>
        <v/>
      </c>
      <c r="Y58" s="1" t="str">
        <f>IF(COUNTIF('Round 2'!$D:$D,C58)=1,VLOOKUP(C58,'Round 2'!$D:$G,4,FALSE),"")</f>
        <v/>
      </c>
      <c r="Z58" s="1" t="str">
        <f>IF(COUNTIF('Round 3'!$D:$D,C58)=1,VLOOKUP(C58,'Round 3'!$D:$G,4,FALSE),"")</f>
        <v/>
      </c>
      <c r="AA58" s="10" t="str">
        <f>IF(COUNTIF('Round 4'!$D:$D,C58)=1,VLOOKUP(C58,'Round 4'!$D:$G,4,FALSE),"")</f>
        <v/>
      </c>
      <c r="AC58">
        <f>G4</f>
        <v>5</v>
      </c>
      <c r="AD58" s="9" t="str">
        <f>IF(C58="","",IF(COUNTIF('Round 1'!$D:$D,C58)=1,IF(VLOOKUP(C58,'Round 1'!$D:$Q,14,FALSE)="",0,IF(AC58&gt;=1,(VLOOKUP(C58,'Round 1'!$D:$Q,14,FALSE)*10000)+VLOOKUP(C58,'Round 1'!$D:$K,8,FALSE),0)),0))</f>
        <v/>
      </c>
      <c r="AE58" s="1" t="str">
        <f>IF(C58="","",IF(COUNTIF('Round 2'!$D:$D,C58)=1,IF(VLOOKUP(C58,'Round 2'!$D:$Q,14,FALSE)="",0,IF(AC58&gt;=2,(VLOOKUP(C58,'Round 2'!$D:$Q,14,FALSE)*10000)+VLOOKUP(C58,'Round 2'!$D:$K,8,FALSE),0)),0))</f>
        <v/>
      </c>
      <c r="AF58" s="1" t="str">
        <f>IF(C58="","",IF(COUNTIF('Round 3'!$D:$D,C58)=1,IF(VLOOKUP(C58,'Round 3'!$D:$Q,14,FALSE)="",0,IF(AC58&gt;=3,(VLOOKUP(C58,'Round 3'!$D:$Q,14,FALSE)*10000)+VLOOKUP(C58,'Round 3'!$D:$K,8,FALSE),0)),0))</f>
        <v/>
      </c>
      <c r="AG58" s="1" t="str">
        <f>IF(C58="","",IF(COUNTIF('Round 4'!$D:$D,C58)=1,IF(VLOOKUP(C58,'Round 4'!$D:$Q,14,FALSE)="",0,IF(AC58&gt;=4,(VLOOKUP(C58,'Round 4'!$D:$Q,14,FALSE)*10000)+VLOOKUP(C58,'Round 4'!$D:$K,8,FALSE),0)),0))</f>
        <v/>
      </c>
      <c r="AH58" s="30" t="str">
        <f>IF(C58="","",IF(COUNTIF('Round 5'!$D:$D,C58)=1,IF(VLOOKUP(C58,'Round 5'!$D:$Q,14,FALSE)="",0,IF(AC58&gt;=5,(VLOOKUP(C58,'Round 5'!$D:$Q,14,FALSE)*10000)+VLOOKUP(C58,'Round 5'!$D:$K,8,FALSE),0)),0))</f>
        <v/>
      </c>
      <c r="AI58" s="58" t="str">
        <f t="shared" si="8"/>
        <v/>
      </c>
      <c r="AJ58" s="59" t="str">
        <f t="shared" si="9"/>
        <v/>
      </c>
    </row>
    <row r="59" spans="2:36" ht="15" thickBot="1" x14ac:dyDescent="0.35">
      <c r="B59" s="54" t="str">
        <f t="shared" si="3"/>
        <v/>
      </c>
      <c r="C59" s="9" t="str">
        <f t="shared" si="7"/>
        <v/>
      </c>
      <c r="D59" s="70"/>
      <c r="E59" s="71"/>
      <c r="F59" s="70"/>
      <c r="G59" s="72"/>
      <c r="H59" s="73"/>
      <c r="I59" s="64">
        <f t="array" ref="I59">IF(H59&lt;&gt;"UCM",0,IF(AI59=LARGE(IF($H:$H="UCM",$AI:$AI,""),1),1,0))</f>
        <v>0</v>
      </c>
      <c r="J59" s="64">
        <f t="array" ref="J59">IF(H59&lt;&gt;"Scourge",0,IF(AI59=LARGE(IF($H:$H="Scourge",$AI:$AI,""),1),1,0))</f>
        <v>0</v>
      </c>
      <c r="K59" s="64">
        <f t="array" ref="K59">IF(H59&lt;&gt;"PHR",0,IF(AI59=LARGE(IF($H:$H="PHR",$AI:$AI,""),1),1,0))</f>
        <v>0</v>
      </c>
      <c r="L59" s="64">
        <f t="array" ref="L59">IF(H59&lt;&gt;"Shaltari",0,IF(AI59=LARGE(IF($H:$H="Shaltari",$AI:$AI,""),1),1,0))</f>
        <v>0</v>
      </c>
      <c r="M59" s="64">
        <f t="array" ref="M59">IF(H59&lt;&gt;"Resistance",0,IF(AI59=LARGE(IF($H:$H="Resistance",$AI:$AI,""),1),1,0))</f>
        <v>0</v>
      </c>
      <c r="N59" s="64">
        <f t="shared" si="4"/>
        <v>0</v>
      </c>
      <c r="O59" s="35"/>
      <c r="P59" s="64" t="str">
        <f t="shared" si="5"/>
        <v/>
      </c>
      <c r="Q59" s="79"/>
      <c r="R59" s="64">
        <f t="array" ref="R59">IF(Q59="",0,IF(COUNTIF(G:G,Q59)&gt;=1,LARGE(IF($G:$G=Q59,$AI:$AI),1),0))</f>
        <v>0</v>
      </c>
      <c r="S59" s="64">
        <f t="array" ref="S59">IF(Q59="",0,IF(COUNTIF(G:G,Q59)&gt;=2,LARGE(IF($G:$G=Q59,$AI:$AI),2),0))</f>
        <v>0</v>
      </c>
      <c r="T59" s="64">
        <f t="array" ref="T59">IF(Q59="",0,IF(COUNTIF(G:G,Q59)&gt;=3,LARGE(IF($G:$G=Q59,$AI:$AI),3),0))</f>
        <v>0</v>
      </c>
      <c r="U59" s="64">
        <f t="shared" si="6"/>
        <v>0</v>
      </c>
      <c r="V59">
        <v>53</v>
      </c>
      <c r="X59" s="9" t="str">
        <f>VLOOKUP(C59,'Round 1'!$D:$G,4,FALSE)</f>
        <v/>
      </c>
      <c r="Y59" s="1" t="str">
        <f>IF(COUNTIF('Round 2'!$D:$D,C59)=1,VLOOKUP(C59,'Round 2'!$D:$G,4,FALSE),"")</f>
        <v/>
      </c>
      <c r="Z59" s="1" t="str">
        <f>IF(COUNTIF('Round 3'!$D:$D,C59)=1,VLOOKUP(C59,'Round 3'!$D:$G,4,FALSE),"")</f>
        <v/>
      </c>
      <c r="AA59" s="10" t="str">
        <f>IF(COUNTIF('Round 4'!$D:$D,C59)=1,VLOOKUP(C59,'Round 4'!$D:$G,4,FALSE),"")</f>
        <v/>
      </c>
      <c r="AC59">
        <f>G4</f>
        <v>5</v>
      </c>
      <c r="AD59" s="9" t="str">
        <f>IF(C59="","",IF(COUNTIF('Round 1'!$D:$D,C59)=1,IF(VLOOKUP(C59,'Round 1'!$D:$Q,14,FALSE)="",0,IF(AC59&gt;=1,(VLOOKUP(C59,'Round 1'!$D:$Q,14,FALSE)*10000)+VLOOKUP(C59,'Round 1'!$D:$K,8,FALSE),0)),0))</f>
        <v/>
      </c>
      <c r="AE59" s="1" t="str">
        <f>IF(C59="","",IF(COUNTIF('Round 2'!$D:$D,C59)=1,IF(VLOOKUP(C59,'Round 2'!$D:$Q,14,FALSE)="",0,IF(AC59&gt;=2,(VLOOKUP(C59,'Round 2'!$D:$Q,14,FALSE)*10000)+VLOOKUP(C59,'Round 2'!$D:$K,8,FALSE),0)),0))</f>
        <v/>
      </c>
      <c r="AF59" s="1" t="str">
        <f>IF(C59="","",IF(COUNTIF('Round 3'!$D:$D,C59)=1,IF(VLOOKUP(C59,'Round 3'!$D:$Q,14,FALSE)="",0,IF(AC59&gt;=3,(VLOOKUP(C59,'Round 3'!$D:$Q,14,FALSE)*10000)+VLOOKUP(C59,'Round 3'!$D:$K,8,FALSE),0)),0))</f>
        <v/>
      </c>
      <c r="AG59" s="1" t="str">
        <f>IF(C59="","",IF(COUNTIF('Round 4'!$D:$D,C59)=1,IF(VLOOKUP(C59,'Round 4'!$D:$Q,14,FALSE)="",0,IF(AC59&gt;=4,(VLOOKUP(C59,'Round 4'!$D:$Q,14,FALSE)*10000)+VLOOKUP(C59,'Round 4'!$D:$K,8,FALSE),0)),0))</f>
        <v/>
      </c>
      <c r="AH59" s="30" t="str">
        <f>IF(C59="","",IF(COUNTIF('Round 5'!$D:$D,C59)=1,IF(VLOOKUP(C59,'Round 5'!$D:$Q,14,FALSE)="",0,IF(AC59&gt;=5,(VLOOKUP(C59,'Round 5'!$D:$Q,14,FALSE)*10000)+VLOOKUP(C59,'Round 5'!$D:$K,8,FALSE),0)),0))</f>
        <v/>
      </c>
      <c r="AI59" s="58" t="str">
        <f t="shared" si="8"/>
        <v/>
      </c>
      <c r="AJ59" s="59" t="str">
        <f t="shared" si="9"/>
        <v/>
      </c>
    </row>
    <row r="60" spans="2:36" ht="15" thickBot="1" x14ac:dyDescent="0.35">
      <c r="B60" s="54" t="str">
        <f t="shared" si="3"/>
        <v/>
      </c>
      <c r="C60" s="9" t="str">
        <f t="shared" si="7"/>
        <v/>
      </c>
      <c r="D60" s="70"/>
      <c r="E60" s="71"/>
      <c r="F60" s="70"/>
      <c r="G60" s="72"/>
      <c r="H60" s="73"/>
      <c r="I60" s="64">
        <f t="array" ref="I60">IF(H60&lt;&gt;"UCM",0,IF(AI60=LARGE(IF($H:$H="UCM",$AI:$AI,""),1),1,0))</f>
        <v>0</v>
      </c>
      <c r="J60" s="64">
        <f t="array" ref="J60">IF(H60&lt;&gt;"Scourge",0,IF(AI60=LARGE(IF($H:$H="Scourge",$AI:$AI,""),1),1,0))</f>
        <v>0</v>
      </c>
      <c r="K60" s="64">
        <f t="array" ref="K60">IF(H60&lt;&gt;"PHR",0,IF(AI60=LARGE(IF($H:$H="PHR",$AI:$AI,""),1),1,0))</f>
        <v>0</v>
      </c>
      <c r="L60" s="64">
        <f t="array" ref="L60">IF(H60&lt;&gt;"Shaltari",0,IF(AI60=LARGE(IF($H:$H="Shaltari",$AI:$AI,""),1),1,0))</f>
        <v>0</v>
      </c>
      <c r="M60" s="64">
        <f t="array" ref="M60">IF(H60&lt;&gt;"Resistance",0,IF(AI60=LARGE(IF($H:$H="Resistance",$AI:$AI,""),1),1,0))</f>
        <v>0</v>
      </c>
      <c r="N60" s="64">
        <f t="shared" si="4"/>
        <v>0</v>
      </c>
      <c r="O60" s="35"/>
      <c r="P60" s="64" t="str">
        <f t="shared" si="5"/>
        <v/>
      </c>
      <c r="Q60" s="79"/>
      <c r="R60" s="64">
        <f t="array" ref="R60">IF(Q60="",0,IF(COUNTIF(G:G,Q60)&gt;=1,LARGE(IF($G:$G=Q60,$AI:$AI),1),0))</f>
        <v>0</v>
      </c>
      <c r="S60" s="64">
        <f t="array" ref="S60">IF(Q60="",0,IF(COUNTIF(G:G,Q60)&gt;=2,LARGE(IF($G:$G=Q60,$AI:$AI),2),0))</f>
        <v>0</v>
      </c>
      <c r="T60" s="64">
        <f t="array" ref="T60">IF(Q60="",0,IF(COUNTIF(G:G,Q60)&gt;=3,LARGE(IF($G:$G=Q60,$AI:$AI),3),0))</f>
        <v>0</v>
      </c>
      <c r="U60" s="64">
        <f t="shared" si="6"/>
        <v>0</v>
      </c>
      <c r="V60">
        <v>54</v>
      </c>
      <c r="X60" s="9" t="str">
        <f>VLOOKUP(C60,'Round 1'!$D:$G,4,FALSE)</f>
        <v/>
      </c>
      <c r="Y60" s="1" t="str">
        <f>IF(COUNTIF('Round 2'!$D:$D,C60)=1,VLOOKUP(C60,'Round 2'!$D:$G,4,FALSE),"")</f>
        <v/>
      </c>
      <c r="Z60" s="1" t="str">
        <f>IF(COUNTIF('Round 3'!$D:$D,C60)=1,VLOOKUP(C60,'Round 3'!$D:$G,4,FALSE),"")</f>
        <v/>
      </c>
      <c r="AA60" s="10" t="str">
        <f>IF(COUNTIF('Round 4'!$D:$D,C60)=1,VLOOKUP(C60,'Round 4'!$D:$G,4,FALSE),"")</f>
        <v/>
      </c>
      <c r="AC60">
        <f>G4</f>
        <v>5</v>
      </c>
      <c r="AD60" s="9" t="str">
        <f>IF(C60="","",IF(COUNTIF('Round 1'!$D:$D,C60)=1,IF(VLOOKUP(C60,'Round 1'!$D:$Q,14,FALSE)="",0,IF(AC60&gt;=1,(VLOOKUP(C60,'Round 1'!$D:$Q,14,FALSE)*10000)+VLOOKUP(C60,'Round 1'!$D:$K,8,FALSE),0)),0))</f>
        <v/>
      </c>
      <c r="AE60" s="1" t="str">
        <f>IF(C60="","",IF(COUNTIF('Round 2'!$D:$D,C60)=1,IF(VLOOKUP(C60,'Round 2'!$D:$Q,14,FALSE)="",0,IF(AC60&gt;=2,(VLOOKUP(C60,'Round 2'!$D:$Q,14,FALSE)*10000)+VLOOKUP(C60,'Round 2'!$D:$K,8,FALSE),0)),0))</f>
        <v/>
      </c>
      <c r="AF60" s="1" t="str">
        <f>IF(C60="","",IF(COUNTIF('Round 3'!$D:$D,C60)=1,IF(VLOOKUP(C60,'Round 3'!$D:$Q,14,FALSE)="",0,IF(AC60&gt;=3,(VLOOKUP(C60,'Round 3'!$D:$Q,14,FALSE)*10000)+VLOOKUP(C60,'Round 3'!$D:$K,8,FALSE),0)),0))</f>
        <v/>
      </c>
      <c r="AG60" s="1" t="str">
        <f>IF(C60="","",IF(COUNTIF('Round 4'!$D:$D,C60)=1,IF(VLOOKUP(C60,'Round 4'!$D:$Q,14,FALSE)="",0,IF(AC60&gt;=4,(VLOOKUP(C60,'Round 4'!$D:$Q,14,FALSE)*10000)+VLOOKUP(C60,'Round 4'!$D:$K,8,FALSE),0)),0))</f>
        <v/>
      </c>
      <c r="AH60" s="30" t="str">
        <f>IF(C60="","",IF(COUNTIF('Round 5'!$D:$D,C60)=1,IF(VLOOKUP(C60,'Round 5'!$D:$Q,14,FALSE)="",0,IF(AC60&gt;=5,(VLOOKUP(C60,'Round 5'!$D:$Q,14,FALSE)*10000)+VLOOKUP(C60,'Round 5'!$D:$K,8,FALSE),0)),0))</f>
        <v/>
      </c>
      <c r="AI60" s="58" t="str">
        <f t="shared" si="8"/>
        <v/>
      </c>
      <c r="AJ60" s="59" t="str">
        <f t="shared" si="9"/>
        <v/>
      </c>
    </row>
    <row r="61" spans="2:36" ht="15" thickBot="1" x14ac:dyDescent="0.35">
      <c r="B61" s="54" t="str">
        <f t="shared" si="3"/>
        <v/>
      </c>
      <c r="C61" s="9" t="str">
        <f t="shared" si="7"/>
        <v/>
      </c>
      <c r="D61" s="70"/>
      <c r="E61" s="71"/>
      <c r="F61" s="70"/>
      <c r="G61" s="72"/>
      <c r="H61" s="73"/>
      <c r="I61" s="64">
        <f t="array" ref="I61">IF(H61&lt;&gt;"UCM",0,IF(AI61=LARGE(IF($H:$H="UCM",$AI:$AI,""),1),1,0))</f>
        <v>0</v>
      </c>
      <c r="J61" s="64">
        <f t="array" ref="J61">IF(H61&lt;&gt;"Scourge",0,IF(AI61=LARGE(IF($H:$H="Scourge",$AI:$AI,""),1),1,0))</f>
        <v>0</v>
      </c>
      <c r="K61" s="64">
        <f t="array" ref="K61">IF(H61&lt;&gt;"PHR",0,IF(AI61=LARGE(IF($H:$H="PHR",$AI:$AI,""),1),1,0))</f>
        <v>0</v>
      </c>
      <c r="L61" s="64">
        <f t="array" ref="L61">IF(H61&lt;&gt;"Shaltari",0,IF(AI61=LARGE(IF($H:$H="Shaltari",$AI:$AI,""),1),1,0))</f>
        <v>0</v>
      </c>
      <c r="M61" s="64">
        <f t="array" ref="M61">IF(H61&lt;&gt;"Resistance",0,IF(AI61=LARGE(IF($H:$H="Resistance",$AI:$AI,""),1),1,0))</f>
        <v>0</v>
      </c>
      <c r="N61" s="64">
        <f t="shared" si="4"/>
        <v>0</v>
      </c>
      <c r="O61" s="35"/>
      <c r="P61" s="64" t="str">
        <f t="shared" si="5"/>
        <v/>
      </c>
      <c r="Q61" s="79"/>
      <c r="R61" s="64">
        <f t="array" ref="R61">IF(Q61="",0,IF(COUNTIF(G:G,Q61)&gt;=1,LARGE(IF($G:$G=Q61,$AI:$AI),1),0))</f>
        <v>0</v>
      </c>
      <c r="S61" s="64">
        <f t="array" ref="S61">IF(Q61="",0,IF(COUNTIF(G:G,Q61)&gt;=2,LARGE(IF($G:$G=Q61,$AI:$AI),2),0))</f>
        <v>0</v>
      </c>
      <c r="T61" s="64">
        <f t="array" ref="T61">IF(Q61="",0,IF(COUNTIF(G:G,Q61)&gt;=3,LARGE(IF($G:$G=Q61,$AI:$AI),3),0))</f>
        <v>0</v>
      </c>
      <c r="U61" s="64">
        <f t="shared" si="6"/>
        <v>0</v>
      </c>
      <c r="V61">
        <v>55</v>
      </c>
      <c r="X61" s="9" t="str">
        <f>VLOOKUP(C61,'Round 1'!$D:$G,4,FALSE)</f>
        <v/>
      </c>
      <c r="Y61" s="1" t="str">
        <f>IF(COUNTIF('Round 2'!$D:$D,C61)=1,VLOOKUP(C61,'Round 2'!$D:$G,4,FALSE),"")</f>
        <v/>
      </c>
      <c r="Z61" s="1" t="str">
        <f>IF(COUNTIF('Round 3'!$D:$D,C61)=1,VLOOKUP(C61,'Round 3'!$D:$G,4,FALSE),"")</f>
        <v/>
      </c>
      <c r="AA61" s="10" t="str">
        <f>IF(COUNTIF('Round 4'!$D:$D,C61)=1,VLOOKUP(C61,'Round 4'!$D:$G,4,FALSE),"")</f>
        <v/>
      </c>
      <c r="AC61">
        <f>G4</f>
        <v>5</v>
      </c>
      <c r="AD61" s="9" t="str">
        <f>IF(C61="","",IF(COUNTIF('Round 1'!$D:$D,C61)=1,IF(VLOOKUP(C61,'Round 1'!$D:$Q,14,FALSE)="",0,IF(AC61&gt;=1,(VLOOKUP(C61,'Round 1'!$D:$Q,14,FALSE)*10000)+VLOOKUP(C61,'Round 1'!$D:$K,8,FALSE),0)),0))</f>
        <v/>
      </c>
      <c r="AE61" s="1" t="str">
        <f>IF(C61="","",IF(COUNTIF('Round 2'!$D:$D,C61)=1,IF(VLOOKUP(C61,'Round 2'!$D:$Q,14,FALSE)="",0,IF(AC61&gt;=2,(VLOOKUP(C61,'Round 2'!$D:$Q,14,FALSE)*10000)+VLOOKUP(C61,'Round 2'!$D:$K,8,FALSE),0)),0))</f>
        <v/>
      </c>
      <c r="AF61" s="1" t="str">
        <f>IF(C61="","",IF(COUNTIF('Round 3'!$D:$D,C61)=1,IF(VLOOKUP(C61,'Round 3'!$D:$Q,14,FALSE)="",0,IF(AC61&gt;=3,(VLOOKUP(C61,'Round 3'!$D:$Q,14,FALSE)*10000)+VLOOKUP(C61,'Round 3'!$D:$K,8,FALSE),0)),0))</f>
        <v/>
      </c>
      <c r="AG61" s="1" t="str">
        <f>IF(C61="","",IF(COUNTIF('Round 4'!$D:$D,C61)=1,IF(VLOOKUP(C61,'Round 4'!$D:$Q,14,FALSE)="",0,IF(AC61&gt;=4,(VLOOKUP(C61,'Round 4'!$D:$Q,14,FALSE)*10000)+VLOOKUP(C61,'Round 4'!$D:$K,8,FALSE),0)),0))</f>
        <v/>
      </c>
      <c r="AH61" s="30" t="str">
        <f>IF(C61="","",IF(COUNTIF('Round 5'!$D:$D,C61)=1,IF(VLOOKUP(C61,'Round 5'!$D:$Q,14,FALSE)="",0,IF(AC61&gt;=5,(VLOOKUP(C61,'Round 5'!$D:$Q,14,FALSE)*10000)+VLOOKUP(C61,'Round 5'!$D:$K,8,FALSE),0)),0))</f>
        <v/>
      </c>
      <c r="AI61" s="58" t="str">
        <f t="shared" si="8"/>
        <v/>
      </c>
      <c r="AJ61" s="59" t="str">
        <f t="shared" si="9"/>
        <v/>
      </c>
    </row>
    <row r="62" spans="2:36" ht="15" thickBot="1" x14ac:dyDescent="0.35">
      <c r="B62" s="54" t="str">
        <f t="shared" si="3"/>
        <v/>
      </c>
      <c r="C62" s="9" t="str">
        <f t="shared" si="7"/>
        <v/>
      </c>
      <c r="D62" s="70"/>
      <c r="E62" s="71"/>
      <c r="F62" s="70"/>
      <c r="G62" s="72"/>
      <c r="H62" s="73"/>
      <c r="I62" s="64">
        <f t="array" ref="I62">IF(H62&lt;&gt;"UCM",0,IF(AI62=LARGE(IF($H:$H="UCM",$AI:$AI,""),1),1,0))</f>
        <v>0</v>
      </c>
      <c r="J62" s="64">
        <f t="array" ref="J62">IF(H62&lt;&gt;"Scourge",0,IF(AI62=LARGE(IF($H:$H="Scourge",$AI:$AI,""),1),1,0))</f>
        <v>0</v>
      </c>
      <c r="K62" s="64">
        <f t="array" ref="K62">IF(H62&lt;&gt;"PHR",0,IF(AI62=LARGE(IF($H:$H="PHR",$AI:$AI,""),1),1,0))</f>
        <v>0</v>
      </c>
      <c r="L62" s="64">
        <f t="array" ref="L62">IF(H62&lt;&gt;"Shaltari",0,IF(AI62=LARGE(IF($H:$H="Shaltari",$AI:$AI,""),1),1,0))</f>
        <v>0</v>
      </c>
      <c r="M62" s="64">
        <f t="array" ref="M62">IF(H62&lt;&gt;"Resistance",0,IF(AI62=LARGE(IF($H:$H="Resistance",$AI:$AI,""),1),1,0))</f>
        <v>0</v>
      </c>
      <c r="N62" s="64">
        <f t="shared" si="4"/>
        <v>0</v>
      </c>
      <c r="O62" s="35"/>
      <c r="P62" s="64" t="str">
        <f t="shared" si="5"/>
        <v/>
      </c>
      <c r="Q62" s="79"/>
      <c r="R62" s="64">
        <f t="array" ref="R62">IF(Q62="",0,IF(COUNTIF(G:G,Q62)&gt;=1,LARGE(IF($G:$G=Q62,$AI:$AI),1),0))</f>
        <v>0</v>
      </c>
      <c r="S62" s="64">
        <f t="array" ref="S62">IF(Q62="",0,IF(COUNTIF(G:G,Q62)&gt;=2,LARGE(IF($G:$G=Q62,$AI:$AI),2),0))</f>
        <v>0</v>
      </c>
      <c r="T62" s="64">
        <f t="array" ref="T62">IF(Q62="",0,IF(COUNTIF(G:G,Q62)&gt;=3,LARGE(IF($G:$G=Q62,$AI:$AI),3),0))</f>
        <v>0</v>
      </c>
      <c r="U62" s="64">
        <f t="shared" si="6"/>
        <v>0</v>
      </c>
      <c r="V62">
        <v>56</v>
      </c>
      <c r="X62" s="9" t="str">
        <f>VLOOKUP(C62,'Round 1'!$D:$G,4,FALSE)</f>
        <v/>
      </c>
      <c r="Y62" s="1" t="str">
        <f>IF(COUNTIF('Round 2'!$D:$D,C62)=1,VLOOKUP(C62,'Round 2'!$D:$G,4,FALSE),"")</f>
        <v/>
      </c>
      <c r="Z62" s="1" t="str">
        <f>IF(COUNTIF('Round 3'!$D:$D,C62)=1,VLOOKUP(C62,'Round 3'!$D:$G,4,FALSE),"")</f>
        <v/>
      </c>
      <c r="AA62" s="10" t="str">
        <f>IF(COUNTIF('Round 4'!$D:$D,C62)=1,VLOOKUP(C62,'Round 4'!$D:$G,4,FALSE),"")</f>
        <v/>
      </c>
      <c r="AC62">
        <f>G4</f>
        <v>5</v>
      </c>
      <c r="AD62" s="9" t="str">
        <f>IF(C62="","",IF(COUNTIF('Round 1'!$D:$D,C62)=1,IF(VLOOKUP(C62,'Round 1'!$D:$Q,14,FALSE)="",0,IF(AC62&gt;=1,(VLOOKUP(C62,'Round 1'!$D:$Q,14,FALSE)*10000)+VLOOKUP(C62,'Round 1'!$D:$K,8,FALSE),0)),0))</f>
        <v/>
      </c>
      <c r="AE62" s="1" t="str">
        <f>IF(C62="","",IF(COUNTIF('Round 2'!$D:$D,C62)=1,IF(VLOOKUP(C62,'Round 2'!$D:$Q,14,FALSE)="",0,IF(AC62&gt;=2,(VLOOKUP(C62,'Round 2'!$D:$Q,14,FALSE)*10000)+VLOOKUP(C62,'Round 2'!$D:$K,8,FALSE),0)),0))</f>
        <v/>
      </c>
      <c r="AF62" s="1" t="str">
        <f>IF(C62="","",IF(COUNTIF('Round 3'!$D:$D,C62)=1,IF(VLOOKUP(C62,'Round 3'!$D:$Q,14,FALSE)="",0,IF(AC62&gt;=3,(VLOOKUP(C62,'Round 3'!$D:$Q,14,FALSE)*10000)+VLOOKUP(C62,'Round 3'!$D:$K,8,FALSE),0)),0))</f>
        <v/>
      </c>
      <c r="AG62" s="1" t="str">
        <f>IF(C62="","",IF(COUNTIF('Round 4'!$D:$D,C62)=1,IF(VLOOKUP(C62,'Round 4'!$D:$Q,14,FALSE)="",0,IF(AC62&gt;=4,(VLOOKUP(C62,'Round 4'!$D:$Q,14,FALSE)*10000)+VLOOKUP(C62,'Round 4'!$D:$K,8,FALSE),0)),0))</f>
        <v/>
      </c>
      <c r="AH62" s="30" t="str">
        <f>IF(C62="","",IF(COUNTIF('Round 5'!$D:$D,C62)=1,IF(VLOOKUP(C62,'Round 5'!$D:$Q,14,FALSE)="",0,IF(AC62&gt;=5,(VLOOKUP(C62,'Round 5'!$D:$Q,14,FALSE)*10000)+VLOOKUP(C62,'Round 5'!$D:$K,8,FALSE),0)),0))</f>
        <v/>
      </c>
      <c r="AI62" s="58" t="str">
        <f t="shared" si="8"/>
        <v/>
      </c>
      <c r="AJ62" s="59" t="str">
        <f t="shared" si="9"/>
        <v/>
      </c>
    </row>
    <row r="63" spans="2:36" ht="15" thickBot="1" x14ac:dyDescent="0.35">
      <c r="B63" s="54" t="str">
        <f t="shared" si="3"/>
        <v/>
      </c>
      <c r="C63" s="9" t="str">
        <f t="shared" si="7"/>
        <v/>
      </c>
      <c r="D63" s="70"/>
      <c r="E63" s="71"/>
      <c r="F63" s="70"/>
      <c r="G63" s="72"/>
      <c r="H63" s="73"/>
      <c r="I63" s="64">
        <f t="array" ref="I63">IF(H63&lt;&gt;"UCM",0,IF(AI63=LARGE(IF($H:$H="UCM",$AI:$AI,""),1),1,0))</f>
        <v>0</v>
      </c>
      <c r="J63" s="64">
        <f t="array" ref="J63">IF(H63&lt;&gt;"Scourge",0,IF(AI63=LARGE(IF($H:$H="Scourge",$AI:$AI,""),1),1,0))</f>
        <v>0</v>
      </c>
      <c r="K63" s="64">
        <f t="array" ref="K63">IF(H63&lt;&gt;"PHR",0,IF(AI63=LARGE(IF($H:$H="PHR",$AI:$AI,""),1),1,0))</f>
        <v>0</v>
      </c>
      <c r="L63" s="64">
        <f t="array" ref="L63">IF(H63&lt;&gt;"Shaltari",0,IF(AI63=LARGE(IF($H:$H="Shaltari",$AI:$AI,""),1),1,0))</f>
        <v>0</v>
      </c>
      <c r="M63" s="64">
        <f t="array" ref="M63">IF(H63&lt;&gt;"Resistance",0,IF(AI63=LARGE(IF($H:$H="Resistance",$AI:$AI,""),1),1,0))</f>
        <v>0</v>
      </c>
      <c r="N63" s="64">
        <f t="shared" si="4"/>
        <v>0</v>
      </c>
      <c r="O63" s="35"/>
      <c r="P63" s="64" t="str">
        <f t="shared" si="5"/>
        <v/>
      </c>
      <c r="Q63" s="79"/>
      <c r="R63" s="64">
        <f t="array" ref="R63">IF(Q63="",0,IF(COUNTIF(G:G,Q63)&gt;=1,LARGE(IF($G:$G=Q63,$AI:$AI),1),0))</f>
        <v>0</v>
      </c>
      <c r="S63" s="64">
        <f t="array" ref="S63">IF(Q63="",0,IF(COUNTIF(G:G,Q63)&gt;=2,LARGE(IF($G:$G=Q63,$AI:$AI),2),0))</f>
        <v>0</v>
      </c>
      <c r="T63" s="64">
        <f t="array" ref="T63">IF(Q63="",0,IF(COUNTIF(G:G,Q63)&gt;=3,LARGE(IF($G:$G=Q63,$AI:$AI),3),0))</f>
        <v>0</v>
      </c>
      <c r="U63" s="64">
        <f t="shared" si="6"/>
        <v>0</v>
      </c>
      <c r="V63">
        <v>57</v>
      </c>
      <c r="X63" s="9" t="str">
        <f>VLOOKUP(C63,'Round 1'!$D:$G,4,FALSE)</f>
        <v/>
      </c>
      <c r="Y63" s="1" t="str">
        <f>IF(COUNTIF('Round 2'!$D:$D,C63)=1,VLOOKUP(C63,'Round 2'!$D:$G,4,FALSE),"")</f>
        <v/>
      </c>
      <c r="Z63" s="1" t="str">
        <f>IF(COUNTIF('Round 3'!$D:$D,C63)=1,VLOOKUP(C63,'Round 3'!$D:$G,4,FALSE),"")</f>
        <v/>
      </c>
      <c r="AA63" s="10" t="str">
        <f>IF(COUNTIF('Round 4'!$D:$D,C63)=1,VLOOKUP(C63,'Round 4'!$D:$G,4,FALSE),"")</f>
        <v/>
      </c>
      <c r="AC63">
        <f>G4</f>
        <v>5</v>
      </c>
      <c r="AD63" s="9" t="str">
        <f>IF(C63="","",IF(COUNTIF('Round 1'!$D:$D,C63)=1,IF(VLOOKUP(C63,'Round 1'!$D:$Q,14,FALSE)="",0,IF(AC63&gt;=1,(VLOOKUP(C63,'Round 1'!$D:$Q,14,FALSE)*10000)+VLOOKUP(C63,'Round 1'!$D:$K,8,FALSE),0)),0))</f>
        <v/>
      </c>
      <c r="AE63" s="1" t="str">
        <f>IF(C63="","",IF(COUNTIF('Round 2'!$D:$D,C63)=1,IF(VLOOKUP(C63,'Round 2'!$D:$Q,14,FALSE)="",0,IF(AC63&gt;=2,(VLOOKUP(C63,'Round 2'!$D:$Q,14,FALSE)*10000)+VLOOKUP(C63,'Round 2'!$D:$K,8,FALSE),0)),0))</f>
        <v/>
      </c>
      <c r="AF63" s="1" t="str">
        <f>IF(C63="","",IF(COUNTIF('Round 3'!$D:$D,C63)=1,IF(VLOOKUP(C63,'Round 3'!$D:$Q,14,FALSE)="",0,IF(AC63&gt;=3,(VLOOKUP(C63,'Round 3'!$D:$Q,14,FALSE)*10000)+VLOOKUP(C63,'Round 3'!$D:$K,8,FALSE),0)),0))</f>
        <v/>
      </c>
      <c r="AG63" s="1" t="str">
        <f>IF(C63="","",IF(COUNTIF('Round 4'!$D:$D,C63)=1,IF(VLOOKUP(C63,'Round 4'!$D:$Q,14,FALSE)="",0,IF(AC63&gt;=4,(VLOOKUP(C63,'Round 4'!$D:$Q,14,FALSE)*10000)+VLOOKUP(C63,'Round 4'!$D:$K,8,FALSE),0)),0))</f>
        <v/>
      </c>
      <c r="AH63" s="30" t="str">
        <f>IF(C63="","",IF(COUNTIF('Round 5'!$D:$D,C63)=1,IF(VLOOKUP(C63,'Round 5'!$D:$Q,14,FALSE)="",0,IF(AC63&gt;=5,(VLOOKUP(C63,'Round 5'!$D:$Q,14,FALSE)*10000)+VLOOKUP(C63,'Round 5'!$D:$K,8,FALSE),0)),0))</f>
        <v/>
      </c>
      <c r="AI63" s="58" t="str">
        <f t="shared" si="8"/>
        <v/>
      </c>
      <c r="AJ63" s="59" t="str">
        <f t="shared" si="9"/>
        <v/>
      </c>
    </row>
    <row r="64" spans="2:36" ht="15" thickBot="1" x14ac:dyDescent="0.35">
      <c r="B64" s="54" t="str">
        <f t="shared" si="3"/>
        <v/>
      </c>
      <c r="C64" s="9" t="str">
        <f t="shared" si="7"/>
        <v/>
      </c>
      <c r="D64" s="70"/>
      <c r="E64" s="71"/>
      <c r="F64" s="70"/>
      <c r="G64" s="72"/>
      <c r="H64" s="73"/>
      <c r="I64" s="64">
        <f t="array" ref="I64">IF(H64&lt;&gt;"UCM",0,IF(AI64=LARGE(IF($H:$H="UCM",$AI:$AI,""),1),1,0))</f>
        <v>0</v>
      </c>
      <c r="J64" s="64">
        <f t="array" ref="J64">IF(H64&lt;&gt;"Scourge",0,IF(AI64=LARGE(IF($H:$H="Scourge",$AI:$AI,""),1),1,0))</f>
        <v>0</v>
      </c>
      <c r="K64" s="64">
        <f t="array" ref="K64">IF(H64&lt;&gt;"PHR",0,IF(AI64=LARGE(IF($H:$H="PHR",$AI:$AI,""),1),1,0))</f>
        <v>0</v>
      </c>
      <c r="L64" s="64">
        <f t="array" ref="L64">IF(H64&lt;&gt;"Shaltari",0,IF(AI64=LARGE(IF($H:$H="Shaltari",$AI:$AI,""),1),1,0))</f>
        <v>0</v>
      </c>
      <c r="M64" s="64">
        <f t="array" ref="M64">IF(H64&lt;&gt;"Resistance",0,IF(AI64=LARGE(IF($H:$H="Resistance",$AI:$AI,""),1),1,0))</f>
        <v>0</v>
      </c>
      <c r="N64" s="64">
        <f t="shared" si="4"/>
        <v>0</v>
      </c>
      <c r="O64" s="35"/>
      <c r="P64" s="64" t="str">
        <f t="shared" si="5"/>
        <v/>
      </c>
      <c r="Q64" s="79"/>
      <c r="R64" s="64">
        <f t="array" ref="R64">IF(Q64="",0,IF(COUNTIF(G:G,Q64)&gt;=1,LARGE(IF($G:$G=Q64,$AI:$AI),1),0))</f>
        <v>0</v>
      </c>
      <c r="S64" s="64">
        <f t="array" ref="S64">IF(Q64="",0,IF(COUNTIF(G:G,Q64)&gt;=2,LARGE(IF($G:$G=Q64,$AI:$AI),2),0))</f>
        <v>0</v>
      </c>
      <c r="T64" s="64">
        <f t="array" ref="T64">IF(Q64="",0,IF(COUNTIF(G:G,Q64)&gt;=3,LARGE(IF($G:$G=Q64,$AI:$AI),3),0))</f>
        <v>0</v>
      </c>
      <c r="U64" s="64">
        <f t="shared" si="6"/>
        <v>0</v>
      </c>
      <c r="V64">
        <v>58</v>
      </c>
      <c r="X64" s="9" t="str">
        <f>VLOOKUP(C64,'Round 1'!$D:$G,4,FALSE)</f>
        <v/>
      </c>
      <c r="Y64" s="1" t="str">
        <f>IF(COUNTIF('Round 2'!$D:$D,C64)=1,VLOOKUP(C64,'Round 2'!$D:$G,4,FALSE),"")</f>
        <v/>
      </c>
      <c r="Z64" s="1" t="str">
        <f>IF(COUNTIF('Round 3'!$D:$D,C64)=1,VLOOKUP(C64,'Round 3'!$D:$G,4,FALSE),"")</f>
        <v/>
      </c>
      <c r="AA64" s="10" t="str">
        <f>IF(COUNTIF('Round 4'!$D:$D,C64)=1,VLOOKUP(C64,'Round 4'!$D:$G,4,FALSE),"")</f>
        <v/>
      </c>
      <c r="AC64">
        <f>G4</f>
        <v>5</v>
      </c>
      <c r="AD64" s="9" t="str">
        <f>IF(C64="","",IF(COUNTIF('Round 1'!$D:$D,C64)=1,IF(VLOOKUP(C64,'Round 1'!$D:$Q,14,FALSE)="",0,IF(AC64&gt;=1,(VLOOKUP(C64,'Round 1'!$D:$Q,14,FALSE)*10000)+VLOOKUP(C64,'Round 1'!$D:$K,8,FALSE),0)),0))</f>
        <v/>
      </c>
      <c r="AE64" s="1" t="str">
        <f>IF(C64="","",IF(COUNTIF('Round 2'!$D:$D,C64)=1,IF(VLOOKUP(C64,'Round 2'!$D:$Q,14,FALSE)="",0,IF(AC64&gt;=2,(VLOOKUP(C64,'Round 2'!$D:$Q,14,FALSE)*10000)+VLOOKUP(C64,'Round 2'!$D:$K,8,FALSE),0)),0))</f>
        <v/>
      </c>
      <c r="AF64" s="1" t="str">
        <f>IF(C64="","",IF(COUNTIF('Round 3'!$D:$D,C64)=1,IF(VLOOKUP(C64,'Round 3'!$D:$Q,14,FALSE)="",0,IF(AC64&gt;=3,(VLOOKUP(C64,'Round 3'!$D:$Q,14,FALSE)*10000)+VLOOKUP(C64,'Round 3'!$D:$K,8,FALSE),0)),0))</f>
        <v/>
      </c>
      <c r="AG64" s="1" t="str">
        <f>IF(C64="","",IF(COUNTIF('Round 4'!$D:$D,C64)=1,IF(VLOOKUP(C64,'Round 4'!$D:$Q,14,FALSE)="",0,IF(AC64&gt;=4,(VLOOKUP(C64,'Round 4'!$D:$Q,14,FALSE)*10000)+VLOOKUP(C64,'Round 4'!$D:$K,8,FALSE),0)),0))</f>
        <v/>
      </c>
      <c r="AH64" s="30" t="str">
        <f>IF(C64="","",IF(COUNTIF('Round 5'!$D:$D,C64)=1,IF(VLOOKUP(C64,'Round 5'!$D:$Q,14,FALSE)="",0,IF(AC64&gt;=5,(VLOOKUP(C64,'Round 5'!$D:$Q,14,FALSE)*10000)+VLOOKUP(C64,'Round 5'!$D:$K,8,FALSE),0)),0))</f>
        <v/>
      </c>
      <c r="AI64" s="58" t="str">
        <f t="shared" si="8"/>
        <v/>
      </c>
      <c r="AJ64" s="59" t="str">
        <f t="shared" si="9"/>
        <v/>
      </c>
    </row>
    <row r="65" spans="2:36" ht="15" thickBot="1" x14ac:dyDescent="0.35">
      <c r="B65" s="54" t="str">
        <f t="shared" si="3"/>
        <v/>
      </c>
      <c r="C65" s="9" t="str">
        <f t="shared" si="7"/>
        <v/>
      </c>
      <c r="D65" s="70"/>
      <c r="E65" s="71"/>
      <c r="F65" s="70"/>
      <c r="G65" s="72"/>
      <c r="H65" s="73"/>
      <c r="I65" s="64">
        <f t="array" ref="I65">IF(H65&lt;&gt;"UCM",0,IF(AI65=LARGE(IF($H:$H="UCM",$AI:$AI,""),1),1,0))</f>
        <v>0</v>
      </c>
      <c r="J65" s="64">
        <f t="array" ref="J65">IF(H65&lt;&gt;"Scourge",0,IF(AI65=LARGE(IF($H:$H="Scourge",$AI:$AI,""),1),1,0))</f>
        <v>0</v>
      </c>
      <c r="K65" s="64">
        <f t="array" ref="K65">IF(H65&lt;&gt;"PHR",0,IF(AI65=LARGE(IF($H:$H="PHR",$AI:$AI,""),1),1,0))</f>
        <v>0</v>
      </c>
      <c r="L65" s="64">
        <f t="array" ref="L65">IF(H65&lt;&gt;"Shaltari",0,IF(AI65=LARGE(IF($H:$H="Shaltari",$AI:$AI,""),1),1,0))</f>
        <v>0</v>
      </c>
      <c r="M65" s="64">
        <f t="array" ref="M65">IF(H65&lt;&gt;"Resistance",0,IF(AI65=LARGE(IF($H:$H="Resistance",$AI:$AI,""),1),1,0))</f>
        <v>0</v>
      </c>
      <c r="N65" s="64">
        <f t="shared" si="4"/>
        <v>0</v>
      </c>
      <c r="O65" s="35"/>
      <c r="P65" s="64" t="str">
        <f t="shared" si="5"/>
        <v/>
      </c>
      <c r="Q65" s="79"/>
      <c r="R65" s="64">
        <f t="array" ref="R65">IF(Q65="",0,IF(COUNTIF(G:G,Q65)&gt;=1,LARGE(IF($G:$G=Q65,$AI:$AI),1),0))</f>
        <v>0</v>
      </c>
      <c r="S65" s="64">
        <f t="array" ref="S65">IF(Q65="",0,IF(COUNTIF(G:G,Q65)&gt;=2,LARGE(IF($G:$G=Q65,$AI:$AI),2),0))</f>
        <v>0</v>
      </c>
      <c r="T65" s="64">
        <f t="array" ref="T65">IF(Q65="",0,IF(COUNTIF(G:G,Q65)&gt;=3,LARGE(IF($G:$G=Q65,$AI:$AI),3),0))</f>
        <v>0</v>
      </c>
      <c r="U65" s="64">
        <f t="shared" si="6"/>
        <v>0</v>
      </c>
      <c r="V65">
        <v>59</v>
      </c>
      <c r="X65" s="9" t="str">
        <f>VLOOKUP(C65,'Round 1'!$D:$G,4,FALSE)</f>
        <v/>
      </c>
      <c r="Y65" s="1" t="str">
        <f>IF(COUNTIF('Round 2'!$D:$D,C65)=1,VLOOKUP(C65,'Round 2'!$D:$G,4,FALSE),"")</f>
        <v/>
      </c>
      <c r="Z65" s="1" t="str">
        <f>IF(COUNTIF('Round 3'!$D:$D,C65)=1,VLOOKUP(C65,'Round 3'!$D:$G,4,FALSE),"")</f>
        <v/>
      </c>
      <c r="AA65" s="10" t="str">
        <f>IF(COUNTIF('Round 4'!$D:$D,C65)=1,VLOOKUP(C65,'Round 4'!$D:$G,4,FALSE),"")</f>
        <v/>
      </c>
      <c r="AC65">
        <f>G4</f>
        <v>5</v>
      </c>
      <c r="AD65" s="9" t="str">
        <f>IF(C65="","",IF(COUNTIF('Round 1'!$D:$D,C65)=1,IF(VLOOKUP(C65,'Round 1'!$D:$Q,14,FALSE)="",0,IF(AC65&gt;=1,(VLOOKUP(C65,'Round 1'!$D:$Q,14,FALSE)*10000)+VLOOKUP(C65,'Round 1'!$D:$K,8,FALSE),0)),0))</f>
        <v/>
      </c>
      <c r="AE65" s="1" t="str">
        <f>IF(C65="","",IF(COUNTIF('Round 2'!$D:$D,C65)=1,IF(VLOOKUP(C65,'Round 2'!$D:$Q,14,FALSE)="",0,IF(AC65&gt;=2,(VLOOKUP(C65,'Round 2'!$D:$Q,14,FALSE)*10000)+VLOOKUP(C65,'Round 2'!$D:$K,8,FALSE),0)),0))</f>
        <v/>
      </c>
      <c r="AF65" s="1" t="str">
        <f>IF(C65="","",IF(COUNTIF('Round 3'!$D:$D,C65)=1,IF(VLOOKUP(C65,'Round 3'!$D:$Q,14,FALSE)="",0,IF(AC65&gt;=3,(VLOOKUP(C65,'Round 3'!$D:$Q,14,FALSE)*10000)+VLOOKUP(C65,'Round 3'!$D:$K,8,FALSE),0)),0))</f>
        <v/>
      </c>
      <c r="AG65" s="1" t="str">
        <f>IF(C65="","",IF(COUNTIF('Round 4'!$D:$D,C65)=1,IF(VLOOKUP(C65,'Round 4'!$D:$Q,14,FALSE)="",0,IF(AC65&gt;=4,(VLOOKUP(C65,'Round 4'!$D:$Q,14,FALSE)*10000)+VLOOKUP(C65,'Round 4'!$D:$K,8,FALSE),0)),0))</f>
        <v/>
      </c>
      <c r="AH65" s="30" t="str">
        <f>IF(C65="","",IF(COUNTIF('Round 5'!$D:$D,C65)=1,IF(VLOOKUP(C65,'Round 5'!$D:$Q,14,FALSE)="",0,IF(AC65&gt;=5,(VLOOKUP(C65,'Round 5'!$D:$Q,14,FALSE)*10000)+VLOOKUP(C65,'Round 5'!$D:$K,8,FALSE),0)),0))</f>
        <v/>
      </c>
      <c r="AI65" s="58" t="str">
        <f t="shared" si="8"/>
        <v/>
      </c>
      <c r="AJ65" s="59" t="str">
        <f t="shared" si="9"/>
        <v/>
      </c>
    </row>
    <row r="66" spans="2:36" ht="15" thickBot="1" x14ac:dyDescent="0.35">
      <c r="B66" s="54" t="str">
        <f t="shared" si="3"/>
        <v/>
      </c>
      <c r="C66" s="9" t="str">
        <f t="shared" si="7"/>
        <v/>
      </c>
      <c r="D66" s="70"/>
      <c r="E66" s="71"/>
      <c r="F66" s="70"/>
      <c r="G66" s="72"/>
      <c r="H66" s="73"/>
      <c r="I66" s="64">
        <f t="array" ref="I66">IF(H66&lt;&gt;"UCM",0,IF(AI66=LARGE(IF($H:$H="UCM",$AI:$AI,""),1),1,0))</f>
        <v>0</v>
      </c>
      <c r="J66" s="64">
        <f t="array" ref="J66">IF(H66&lt;&gt;"Scourge",0,IF(AI66=LARGE(IF($H:$H="Scourge",$AI:$AI,""),1),1,0))</f>
        <v>0</v>
      </c>
      <c r="K66" s="64">
        <f t="array" ref="K66">IF(H66&lt;&gt;"PHR",0,IF(AI66=LARGE(IF($H:$H="PHR",$AI:$AI,""),1),1,0))</f>
        <v>0</v>
      </c>
      <c r="L66" s="64">
        <f t="array" ref="L66">IF(H66&lt;&gt;"Shaltari",0,IF(AI66=LARGE(IF($H:$H="Shaltari",$AI:$AI,""),1),1,0))</f>
        <v>0</v>
      </c>
      <c r="M66" s="64">
        <f t="array" ref="M66">IF(H66&lt;&gt;"Resistance",0,IF(AI66=LARGE(IF($H:$H="Resistance",$AI:$AI,""),1),1,0))</f>
        <v>0</v>
      </c>
      <c r="N66" s="64">
        <f t="shared" si="4"/>
        <v>0</v>
      </c>
      <c r="O66" s="35"/>
      <c r="P66" s="64" t="str">
        <f t="shared" si="5"/>
        <v/>
      </c>
      <c r="Q66" s="79"/>
      <c r="R66" s="64">
        <f t="array" ref="R66">IF(Q66="",0,IF(COUNTIF(G:G,Q66)&gt;=1,LARGE(IF($G:$G=Q66,$AI:$AI),1),0))</f>
        <v>0</v>
      </c>
      <c r="S66" s="64">
        <f t="array" ref="S66">IF(Q66="",0,IF(COUNTIF(G:G,Q66)&gt;=2,LARGE(IF($G:$G=Q66,$AI:$AI),2),0))</f>
        <v>0</v>
      </c>
      <c r="T66" s="64">
        <f t="array" ref="T66">IF(Q66="",0,IF(COUNTIF(G:G,Q66)&gt;=3,LARGE(IF($G:$G=Q66,$AI:$AI),3),0))</f>
        <v>0</v>
      </c>
      <c r="U66" s="64">
        <f t="shared" si="6"/>
        <v>0</v>
      </c>
      <c r="V66">
        <v>60</v>
      </c>
      <c r="X66" s="9" t="str">
        <f>VLOOKUP(C66,'Round 1'!$D:$G,4,FALSE)</f>
        <v/>
      </c>
      <c r="Y66" s="1" t="str">
        <f>IF(COUNTIF('Round 2'!$D:$D,C66)=1,VLOOKUP(C66,'Round 2'!$D:$G,4,FALSE),"")</f>
        <v/>
      </c>
      <c r="Z66" s="1" t="str">
        <f>IF(COUNTIF('Round 3'!$D:$D,C66)=1,VLOOKUP(C66,'Round 3'!$D:$G,4,FALSE),"")</f>
        <v/>
      </c>
      <c r="AA66" s="10" t="str">
        <f>IF(COUNTIF('Round 4'!$D:$D,C66)=1,VLOOKUP(C66,'Round 4'!$D:$G,4,FALSE),"")</f>
        <v/>
      </c>
      <c r="AC66">
        <f>G4</f>
        <v>5</v>
      </c>
      <c r="AD66" s="9" t="str">
        <f>IF(C66="","",IF(COUNTIF('Round 1'!$D:$D,C66)=1,IF(VLOOKUP(C66,'Round 1'!$D:$Q,14,FALSE)="",0,IF(AC66&gt;=1,(VLOOKUP(C66,'Round 1'!$D:$Q,14,FALSE)*10000)+VLOOKUP(C66,'Round 1'!$D:$K,8,FALSE),0)),0))</f>
        <v/>
      </c>
      <c r="AE66" s="1" t="str">
        <f>IF(C66="","",IF(COUNTIF('Round 2'!$D:$D,C66)=1,IF(VLOOKUP(C66,'Round 2'!$D:$Q,14,FALSE)="",0,IF(AC66&gt;=2,(VLOOKUP(C66,'Round 2'!$D:$Q,14,FALSE)*10000)+VLOOKUP(C66,'Round 2'!$D:$K,8,FALSE),0)),0))</f>
        <v/>
      </c>
      <c r="AF66" s="1" t="str">
        <f>IF(C66="","",IF(COUNTIF('Round 3'!$D:$D,C66)=1,IF(VLOOKUP(C66,'Round 3'!$D:$Q,14,FALSE)="",0,IF(AC66&gt;=3,(VLOOKUP(C66,'Round 3'!$D:$Q,14,FALSE)*10000)+VLOOKUP(C66,'Round 3'!$D:$K,8,FALSE),0)),0))</f>
        <v/>
      </c>
      <c r="AG66" s="1" t="str">
        <f>IF(C66="","",IF(COUNTIF('Round 4'!$D:$D,C66)=1,IF(VLOOKUP(C66,'Round 4'!$D:$Q,14,FALSE)="",0,IF(AC66&gt;=4,(VLOOKUP(C66,'Round 4'!$D:$Q,14,FALSE)*10000)+VLOOKUP(C66,'Round 4'!$D:$K,8,FALSE),0)),0))</f>
        <v/>
      </c>
      <c r="AH66" s="30" t="str">
        <f>IF(C66="","",IF(COUNTIF('Round 5'!$D:$D,C66)=1,IF(VLOOKUP(C66,'Round 5'!$D:$Q,14,FALSE)="",0,IF(AC66&gt;=5,(VLOOKUP(C66,'Round 5'!$D:$Q,14,FALSE)*10000)+VLOOKUP(C66,'Round 5'!$D:$K,8,FALSE),0)),0))</f>
        <v/>
      </c>
      <c r="AI66" s="58" t="str">
        <f t="shared" si="8"/>
        <v/>
      </c>
      <c r="AJ66" s="59" t="str">
        <f t="shared" si="9"/>
        <v/>
      </c>
    </row>
    <row r="67" spans="2:36" ht="15" thickBot="1" x14ac:dyDescent="0.35">
      <c r="B67" s="54" t="str">
        <f t="shared" si="3"/>
        <v/>
      </c>
      <c r="C67" s="9" t="str">
        <f t="shared" si="7"/>
        <v/>
      </c>
      <c r="D67" s="70"/>
      <c r="E67" s="71"/>
      <c r="F67" s="70"/>
      <c r="G67" s="72"/>
      <c r="H67" s="73"/>
      <c r="I67" s="64">
        <f t="array" ref="I67">IF(H67&lt;&gt;"UCM",0,IF(AI67=LARGE(IF($H:$H="UCM",$AI:$AI,""),1),1,0))</f>
        <v>0</v>
      </c>
      <c r="J67" s="64">
        <f t="array" ref="J67">IF(H67&lt;&gt;"Scourge",0,IF(AI67=LARGE(IF($H:$H="Scourge",$AI:$AI,""),1),1,0))</f>
        <v>0</v>
      </c>
      <c r="K67" s="64">
        <f t="array" ref="K67">IF(H67&lt;&gt;"PHR",0,IF(AI67=LARGE(IF($H:$H="PHR",$AI:$AI,""),1),1,0))</f>
        <v>0</v>
      </c>
      <c r="L67" s="64">
        <f t="array" ref="L67">IF(H67&lt;&gt;"Shaltari",0,IF(AI67=LARGE(IF($H:$H="Shaltari",$AI:$AI,""),1),1,0))</f>
        <v>0</v>
      </c>
      <c r="M67" s="64">
        <f t="array" ref="M67">IF(H67&lt;&gt;"Resistance",0,IF(AI67=LARGE(IF($H:$H="Resistance",$AI:$AI,""),1),1,0))</f>
        <v>0</v>
      </c>
      <c r="N67" s="64">
        <f t="shared" si="4"/>
        <v>0</v>
      </c>
      <c r="O67" s="35"/>
      <c r="P67" s="64" t="str">
        <f t="shared" si="5"/>
        <v/>
      </c>
      <c r="Q67" s="79"/>
      <c r="R67" s="64">
        <f t="array" ref="R67">IF(Q67="",0,IF(COUNTIF(G:G,Q67)&gt;=1,LARGE(IF($G:$G=Q67,$AI:$AI),1),0))</f>
        <v>0</v>
      </c>
      <c r="S67" s="64">
        <f t="array" ref="S67">IF(Q67="",0,IF(COUNTIF(G:G,Q67)&gt;=2,LARGE(IF($G:$G=Q67,$AI:$AI),2),0))</f>
        <v>0</v>
      </c>
      <c r="T67" s="64">
        <f t="array" ref="T67">IF(Q67="",0,IF(COUNTIF(G:G,Q67)&gt;=3,LARGE(IF($G:$G=Q67,$AI:$AI),3),0))</f>
        <v>0</v>
      </c>
      <c r="U67" s="64">
        <f t="shared" si="6"/>
        <v>0</v>
      </c>
      <c r="V67">
        <v>61</v>
      </c>
      <c r="X67" s="9" t="str">
        <f>VLOOKUP(C67,'Round 1'!$D:$G,4,FALSE)</f>
        <v/>
      </c>
      <c r="Y67" s="1" t="str">
        <f>IF(COUNTIF('Round 2'!$D:$D,C67)=1,VLOOKUP(C67,'Round 2'!$D:$G,4,FALSE),"")</f>
        <v/>
      </c>
      <c r="Z67" s="1" t="str">
        <f>IF(COUNTIF('Round 3'!$D:$D,C67)=1,VLOOKUP(C67,'Round 3'!$D:$G,4,FALSE),"")</f>
        <v/>
      </c>
      <c r="AA67" s="10" t="str">
        <f>IF(COUNTIF('Round 4'!$D:$D,C67)=1,VLOOKUP(C67,'Round 4'!$D:$G,4,FALSE),"")</f>
        <v/>
      </c>
      <c r="AC67">
        <f>G4</f>
        <v>5</v>
      </c>
      <c r="AD67" s="9" t="str">
        <f>IF(C67="","",IF(COUNTIF('Round 1'!$D:$D,C67)=1,IF(VLOOKUP(C67,'Round 1'!$D:$Q,14,FALSE)="",0,IF(AC67&gt;=1,(VLOOKUP(C67,'Round 1'!$D:$Q,14,FALSE)*10000)+VLOOKUP(C67,'Round 1'!$D:$K,8,FALSE),0)),0))</f>
        <v/>
      </c>
      <c r="AE67" s="1" t="str">
        <f>IF(C67="","",IF(COUNTIF('Round 2'!$D:$D,C67)=1,IF(VLOOKUP(C67,'Round 2'!$D:$Q,14,FALSE)="",0,IF(AC67&gt;=2,(VLOOKUP(C67,'Round 2'!$D:$Q,14,FALSE)*10000)+VLOOKUP(C67,'Round 2'!$D:$K,8,FALSE),0)),0))</f>
        <v/>
      </c>
      <c r="AF67" s="1" t="str">
        <f>IF(C67="","",IF(COUNTIF('Round 3'!$D:$D,C67)=1,IF(VLOOKUP(C67,'Round 3'!$D:$Q,14,FALSE)="",0,IF(AC67&gt;=3,(VLOOKUP(C67,'Round 3'!$D:$Q,14,FALSE)*10000)+VLOOKUP(C67,'Round 3'!$D:$K,8,FALSE),0)),0))</f>
        <v/>
      </c>
      <c r="AG67" s="1" t="str">
        <f>IF(C67="","",IF(COUNTIF('Round 4'!$D:$D,C67)=1,IF(VLOOKUP(C67,'Round 4'!$D:$Q,14,FALSE)="",0,IF(AC67&gt;=4,(VLOOKUP(C67,'Round 4'!$D:$Q,14,FALSE)*10000)+VLOOKUP(C67,'Round 4'!$D:$K,8,FALSE),0)),0))</f>
        <v/>
      </c>
      <c r="AH67" s="30" t="str">
        <f>IF(C67="","",IF(COUNTIF('Round 5'!$D:$D,C67)=1,IF(VLOOKUP(C67,'Round 5'!$D:$Q,14,FALSE)="",0,IF(AC67&gt;=5,(VLOOKUP(C67,'Round 5'!$D:$Q,14,FALSE)*10000)+VLOOKUP(C67,'Round 5'!$D:$K,8,FALSE),0)),0))</f>
        <v/>
      </c>
      <c r="AI67" s="58" t="str">
        <f t="shared" si="8"/>
        <v/>
      </c>
      <c r="AJ67" s="59" t="str">
        <f t="shared" si="9"/>
        <v/>
      </c>
    </row>
    <row r="68" spans="2:36" ht="15" thickBot="1" x14ac:dyDescent="0.35">
      <c r="B68" s="54" t="str">
        <f t="shared" si="3"/>
        <v/>
      </c>
      <c r="C68" s="9" t="str">
        <f t="shared" si="7"/>
        <v/>
      </c>
      <c r="D68" s="70"/>
      <c r="E68" s="71"/>
      <c r="F68" s="70"/>
      <c r="G68" s="72"/>
      <c r="H68" s="73"/>
      <c r="I68" s="64">
        <f t="array" ref="I68">IF(H68&lt;&gt;"UCM",0,IF(AI68=LARGE(IF($H:$H="UCM",$AI:$AI,""),1),1,0))</f>
        <v>0</v>
      </c>
      <c r="J68" s="64">
        <f t="array" ref="J68">IF(H68&lt;&gt;"Scourge",0,IF(AI68=LARGE(IF($H:$H="Scourge",$AI:$AI,""),1),1,0))</f>
        <v>0</v>
      </c>
      <c r="K68" s="64">
        <f t="array" ref="K68">IF(H68&lt;&gt;"PHR",0,IF(AI68=LARGE(IF($H:$H="PHR",$AI:$AI,""),1),1,0))</f>
        <v>0</v>
      </c>
      <c r="L68" s="64">
        <f t="array" ref="L68">IF(H68&lt;&gt;"Shaltari",0,IF(AI68=LARGE(IF($H:$H="Shaltari",$AI:$AI,""),1),1,0))</f>
        <v>0</v>
      </c>
      <c r="M68" s="64">
        <f t="array" ref="M68">IF(H68&lt;&gt;"Resistance",0,IF(AI68=LARGE(IF($H:$H="Resistance",$AI:$AI,""),1),1,0))</f>
        <v>0</v>
      </c>
      <c r="N68" s="64">
        <f t="shared" si="4"/>
        <v>0</v>
      </c>
      <c r="O68" s="35"/>
      <c r="P68" s="64" t="str">
        <f t="shared" si="5"/>
        <v/>
      </c>
      <c r="Q68" s="79"/>
      <c r="R68" s="64">
        <f t="array" ref="R68">IF(Q68="",0,IF(COUNTIF(G:G,Q68)&gt;=1,LARGE(IF($G:$G=Q68,$AI:$AI),1),0))</f>
        <v>0</v>
      </c>
      <c r="S68" s="64">
        <f t="array" ref="S68">IF(Q68="",0,IF(COUNTIF(G:G,Q68)&gt;=2,LARGE(IF($G:$G=Q68,$AI:$AI),2),0))</f>
        <v>0</v>
      </c>
      <c r="T68" s="64">
        <f t="array" ref="T68">IF(Q68="",0,IF(COUNTIF(G:G,Q68)&gt;=3,LARGE(IF($G:$G=Q68,$AI:$AI),3),0))</f>
        <v>0</v>
      </c>
      <c r="U68" s="64">
        <f t="shared" si="6"/>
        <v>0</v>
      </c>
      <c r="V68">
        <v>62</v>
      </c>
      <c r="X68" s="9" t="str">
        <f>VLOOKUP(C68,'Round 1'!$D:$G,4,FALSE)</f>
        <v/>
      </c>
      <c r="Y68" s="1" t="str">
        <f>IF(COUNTIF('Round 2'!$D:$D,C68)=1,VLOOKUP(C68,'Round 2'!$D:$G,4,FALSE),"")</f>
        <v/>
      </c>
      <c r="Z68" s="1" t="str">
        <f>IF(COUNTIF('Round 3'!$D:$D,C68)=1,VLOOKUP(C68,'Round 3'!$D:$G,4,FALSE),"")</f>
        <v/>
      </c>
      <c r="AA68" s="10" t="str">
        <f>IF(COUNTIF('Round 4'!$D:$D,C68)=1,VLOOKUP(C68,'Round 4'!$D:$G,4,FALSE),"")</f>
        <v/>
      </c>
      <c r="AC68">
        <f>G4</f>
        <v>5</v>
      </c>
      <c r="AD68" s="9" t="str">
        <f>IF(C68="","",IF(COUNTIF('Round 1'!$D:$D,C68)=1,IF(VLOOKUP(C68,'Round 1'!$D:$Q,14,FALSE)="",0,IF(AC68&gt;=1,(VLOOKUP(C68,'Round 1'!$D:$Q,14,FALSE)*10000)+VLOOKUP(C68,'Round 1'!$D:$K,8,FALSE),0)),0))</f>
        <v/>
      </c>
      <c r="AE68" s="1" t="str">
        <f>IF(C68="","",IF(COUNTIF('Round 2'!$D:$D,C68)=1,IF(VLOOKUP(C68,'Round 2'!$D:$Q,14,FALSE)="",0,IF(AC68&gt;=2,(VLOOKUP(C68,'Round 2'!$D:$Q,14,FALSE)*10000)+VLOOKUP(C68,'Round 2'!$D:$K,8,FALSE),0)),0))</f>
        <v/>
      </c>
      <c r="AF68" s="1" t="str">
        <f>IF(C68="","",IF(COUNTIF('Round 3'!$D:$D,C68)=1,IF(VLOOKUP(C68,'Round 3'!$D:$Q,14,FALSE)="",0,IF(AC68&gt;=3,(VLOOKUP(C68,'Round 3'!$D:$Q,14,FALSE)*10000)+VLOOKUP(C68,'Round 3'!$D:$K,8,FALSE),0)),0))</f>
        <v/>
      </c>
      <c r="AG68" s="1" t="str">
        <f>IF(C68="","",IF(COUNTIF('Round 4'!$D:$D,C68)=1,IF(VLOOKUP(C68,'Round 4'!$D:$Q,14,FALSE)="",0,IF(AC68&gt;=4,(VLOOKUP(C68,'Round 4'!$D:$Q,14,FALSE)*10000)+VLOOKUP(C68,'Round 4'!$D:$K,8,FALSE),0)),0))</f>
        <v/>
      </c>
      <c r="AH68" s="30" t="str">
        <f>IF(C68="","",IF(COUNTIF('Round 5'!$D:$D,C68)=1,IF(VLOOKUP(C68,'Round 5'!$D:$Q,14,FALSE)="",0,IF(AC68&gt;=5,(VLOOKUP(C68,'Round 5'!$D:$Q,14,FALSE)*10000)+VLOOKUP(C68,'Round 5'!$D:$K,8,FALSE),0)),0))</f>
        <v/>
      </c>
      <c r="AI68" s="58" t="str">
        <f t="shared" si="8"/>
        <v/>
      </c>
      <c r="AJ68" s="59" t="str">
        <f t="shared" si="9"/>
        <v/>
      </c>
    </row>
    <row r="69" spans="2:36" ht="15" thickBot="1" x14ac:dyDescent="0.35">
      <c r="B69" s="54" t="str">
        <f t="shared" si="3"/>
        <v/>
      </c>
      <c r="C69" s="9" t="str">
        <f t="shared" si="7"/>
        <v/>
      </c>
      <c r="D69" s="70"/>
      <c r="E69" s="71"/>
      <c r="F69" s="70"/>
      <c r="G69" s="72"/>
      <c r="H69" s="73"/>
      <c r="I69" s="64">
        <f t="array" ref="I69">IF(H69&lt;&gt;"UCM",0,IF(AI69=LARGE(IF($H:$H="UCM",$AI:$AI,""),1),1,0))</f>
        <v>0</v>
      </c>
      <c r="J69" s="64">
        <f t="array" ref="J69">IF(H69&lt;&gt;"Scourge",0,IF(AI69=LARGE(IF($H:$H="Scourge",$AI:$AI,""),1),1,0))</f>
        <v>0</v>
      </c>
      <c r="K69" s="64">
        <f t="array" ref="K69">IF(H69&lt;&gt;"PHR",0,IF(AI69=LARGE(IF($H:$H="PHR",$AI:$AI,""),1),1,0))</f>
        <v>0</v>
      </c>
      <c r="L69" s="64">
        <f t="array" ref="L69">IF(H69&lt;&gt;"Shaltari",0,IF(AI69=LARGE(IF($H:$H="Shaltari",$AI:$AI,""),1),1,0))</f>
        <v>0</v>
      </c>
      <c r="M69" s="64">
        <f t="array" ref="M69">IF(H69&lt;&gt;"Resistance",0,IF(AI69=LARGE(IF($H:$H="Resistance",$AI:$AI,""),1),1,0))</f>
        <v>0</v>
      </c>
      <c r="N69" s="64">
        <f t="shared" si="4"/>
        <v>0</v>
      </c>
      <c r="O69" s="35"/>
      <c r="P69" s="64" t="str">
        <f t="shared" si="5"/>
        <v/>
      </c>
      <c r="Q69" s="79"/>
      <c r="R69" s="64">
        <f t="array" ref="R69">IF(Q69="",0,IF(COUNTIF(G:G,Q69)&gt;=1,LARGE(IF($G:$G=Q69,$AI:$AI),1),0))</f>
        <v>0</v>
      </c>
      <c r="S69" s="64">
        <f t="array" ref="S69">IF(Q69="",0,IF(COUNTIF(G:G,Q69)&gt;=2,LARGE(IF($G:$G=Q69,$AI:$AI),2),0))</f>
        <v>0</v>
      </c>
      <c r="T69" s="64">
        <f t="array" ref="T69">IF(Q69="",0,IF(COUNTIF(G:G,Q69)&gt;=3,LARGE(IF($G:$G=Q69,$AI:$AI),3),0))</f>
        <v>0</v>
      </c>
      <c r="U69" s="64">
        <f t="shared" si="6"/>
        <v>0</v>
      </c>
      <c r="V69">
        <v>63</v>
      </c>
      <c r="X69" s="9" t="str">
        <f>VLOOKUP(C69,'Round 1'!$D:$G,4,FALSE)</f>
        <v/>
      </c>
      <c r="Y69" s="1" t="str">
        <f>IF(COUNTIF('Round 2'!$D:$D,C69)=1,VLOOKUP(C69,'Round 2'!$D:$G,4,FALSE),"")</f>
        <v/>
      </c>
      <c r="Z69" s="1" t="str">
        <f>IF(COUNTIF('Round 3'!$D:$D,C69)=1,VLOOKUP(C69,'Round 3'!$D:$G,4,FALSE),"")</f>
        <v/>
      </c>
      <c r="AA69" s="10" t="str">
        <f>IF(COUNTIF('Round 4'!$D:$D,C69)=1,VLOOKUP(C69,'Round 4'!$D:$G,4,FALSE),"")</f>
        <v/>
      </c>
      <c r="AC69">
        <f>G4</f>
        <v>5</v>
      </c>
      <c r="AD69" s="9" t="str">
        <f>IF(C69="","",IF(COUNTIF('Round 1'!$D:$D,C69)=1,IF(VLOOKUP(C69,'Round 1'!$D:$Q,14,FALSE)="",0,IF(AC69&gt;=1,(VLOOKUP(C69,'Round 1'!$D:$Q,14,FALSE)*10000)+VLOOKUP(C69,'Round 1'!$D:$K,8,FALSE),0)),0))</f>
        <v/>
      </c>
      <c r="AE69" s="1" t="str">
        <f>IF(C69="","",IF(COUNTIF('Round 2'!$D:$D,C69)=1,IF(VLOOKUP(C69,'Round 2'!$D:$Q,14,FALSE)="",0,IF(AC69&gt;=2,(VLOOKUP(C69,'Round 2'!$D:$Q,14,FALSE)*10000)+VLOOKUP(C69,'Round 2'!$D:$K,8,FALSE),0)),0))</f>
        <v/>
      </c>
      <c r="AF69" s="1" t="str">
        <f>IF(C69="","",IF(COUNTIF('Round 3'!$D:$D,C69)=1,IF(VLOOKUP(C69,'Round 3'!$D:$Q,14,FALSE)="",0,IF(AC69&gt;=3,(VLOOKUP(C69,'Round 3'!$D:$Q,14,FALSE)*10000)+VLOOKUP(C69,'Round 3'!$D:$K,8,FALSE),0)),0))</f>
        <v/>
      </c>
      <c r="AG69" s="1" t="str">
        <f>IF(C69="","",IF(COUNTIF('Round 4'!$D:$D,C69)=1,IF(VLOOKUP(C69,'Round 4'!$D:$Q,14,FALSE)="",0,IF(AC69&gt;=4,(VLOOKUP(C69,'Round 4'!$D:$Q,14,FALSE)*10000)+VLOOKUP(C69,'Round 4'!$D:$K,8,FALSE),0)),0))</f>
        <v/>
      </c>
      <c r="AH69" s="30" t="str">
        <f>IF(C69="","",IF(COUNTIF('Round 5'!$D:$D,C69)=1,IF(VLOOKUP(C69,'Round 5'!$D:$Q,14,FALSE)="",0,IF(AC69&gt;=5,(VLOOKUP(C69,'Round 5'!$D:$Q,14,FALSE)*10000)+VLOOKUP(C69,'Round 5'!$D:$K,8,FALSE),0)),0))</f>
        <v/>
      </c>
      <c r="AI69" s="58" t="str">
        <f t="shared" si="8"/>
        <v/>
      </c>
      <c r="AJ69" s="59" t="str">
        <f t="shared" si="9"/>
        <v/>
      </c>
    </row>
    <row r="70" spans="2:36" ht="15" thickBot="1" x14ac:dyDescent="0.35">
      <c r="B70" s="54" t="str">
        <f t="shared" si="3"/>
        <v/>
      </c>
      <c r="C70" s="9" t="str">
        <f t="shared" si="7"/>
        <v/>
      </c>
      <c r="D70" s="70"/>
      <c r="E70" s="71"/>
      <c r="F70" s="70"/>
      <c r="G70" s="72"/>
      <c r="H70" s="73"/>
      <c r="I70" s="64">
        <f t="array" ref="I70">IF(H70&lt;&gt;"UCM",0,IF(AI70=LARGE(IF($H:$H="UCM",$AI:$AI,""),1),1,0))</f>
        <v>0</v>
      </c>
      <c r="J70" s="64">
        <f t="array" ref="J70">IF(H70&lt;&gt;"Scourge",0,IF(AI70=LARGE(IF($H:$H="Scourge",$AI:$AI,""),1),1,0))</f>
        <v>0</v>
      </c>
      <c r="K70" s="64">
        <f t="array" ref="K70">IF(H70&lt;&gt;"PHR",0,IF(AI70=LARGE(IF($H:$H="PHR",$AI:$AI,""),1),1,0))</f>
        <v>0</v>
      </c>
      <c r="L70" s="64">
        <f t="array" ref="L70">IF(H70&lt;&gt;"Shaltari",0,IF(AI70=LARGE(IF($H:$H="Shaltari",$AI:$AI,""),1),1,0))</f>
        <v>0</v>
      </c>
      <c r="M70" s="64">
        <f t="array" ref="M70">IF(H70&lt;&gt;"Resistance",0,IF(AI70=LARGE(IF($H:$H="Resistance",$AI:$AI,""),1),1,0))</f>
        <v>0</v>
      </c>
      <c r="N70" s="64">
        <f t="shared" si="4"/>
        <v>0</v>
      </c>
      <c r="O70" s="35"/>
      <c r="P70" s="64" t="str">
        <f t="shared" si="5"/>
        <v/>
      </c>
      <c r="Q70" s="79"/>
      <c r="R70" s="64">
        <f t="array" ref="R70">IF(Q70="",0,IF(COUNTIF(G:G,Q70)&gt;=1,LARGE(IF($G:$G=Q70,$AI:$AI),1),0))</f>
        <v>0</v>
      </c>
      <c r="S70" s="64">
        <f t="array" ref="S70">IF(Q70="",0,IF(COUNTIF(G:G,Q70)&gt;=2,LARGE(IF($G:$G=Q70,$AI:$AI),2),0))</f>
        <v>0</v>
      </c>
      <c r="T70" s="64">
        <f t="array" ref="T70">IF(Q70="",0,IF(COUNTIF(G:G,Q70)&gt;=3,LARGE(IF($G:$G=Q70,$AI:$AI),3),0))</f>
        <v>0</v>
      </c>
      <c r="U70" s="64">
        <f t="shared" si="6"/>
        <v>0</v>
      </c>
      <c r="V70">
        <v>64</v>
      </c>
      <c r="X70" s="9" t="str">
        <f>VLOOKUP(C70,'Round 1'!$D:$G,4,FALSE)</f>
        <v/>
      </c>
      <c r="Y70" s="1" t="str">
        <f>IF(COUNTIF('Round 2'!$D:$D,C70)=1,VLOOKUP(C70,'Round 2'!$D:$G,4,FALSE),"")</f>
        <v/>
      </c>
      <c r="Z70" s="1" t="str">
        <f>IF(COUNTIF('Round 3'!$D:$D,C70)=1,VLOOKUP(C70,'Round 3'!$D:$G,4,FALSE),"")</f>
        <v/>
      </c>
      <c r="AA70" s="10" t="str">
        <f>IF(COUNTIF('Round 4'!$D:$D,C70)=1,VLOOKUP(C70,'Round 4'!$D:$G,4,FALSE),"")</f>
        <v/>
      </c>
      <c r="AC70">
        <f>G4</f>
        <v>5</v>
      </c>
      <c r="AD70" s="9" t="str">
        <f>IF(C70="","",IF(COUNTIF('Round 1'!$D:$D,C70)=1,IF(VLOOKUP(C70,'Round 1'!$D:$Q,14,FALSE)="",0,IF(AC70&gt;=1,(VLOOKUP(C70,'Round 1'!$D:$Q,14,FALSE)*10000)+VLOOKUP(C70,'Round 1'!$D:$K,8,FALSE),0)),0))</f>
        <v/>
      </c>
      <c r="AE70" s="1" t="str">
        <f>IF(C70="","",IF(COUNTIF('Round 2'!$D:$D,C70)=1,IF(VLOOKUP(C70,'Round 2'!$D:$Q,14,FALSE)="",0,IF(AC70&gt;=2,(VLOOKUP(C70,'Round 2'!$D:$Q,14,FALSE)*10000)+VLOOKUP(C70,'Round 2'!$D:$K,8,FALSE),0)),0))</f>
        <v/>
      </c>
      <c r="AF70" s="1" t="str">
        <f>IF(C70="","",IF(COUNTIF('Round 3'!$D:$D,C70)=1,IF(VLOOKUP(C70,'Round 3'!$D:$Q,14,FALSE)="",0,IF(AC70&gt;=3,(VLOOKUP(C70,'Round 3'!$D:$Q,14,FALSE)*10000)+VLOOKUP(C70,'Round 3'!$D:$K,8,FALSE),0)),0))</f>
        <v/>
      </c>
      <c r="AG70" s="1" t="str">
        <f>IF(C70="","",IF(COUNTIF('Round 4'!$D:$D,C70)=1,IF(VLOOKUP(C70,'Round 4'!$D:$Q,14,FALSE)="",0,IF(AC70&gt;=4,(VLOOKUP(C70,'Round 4'!$D:$Q,14,FALSE)*10000)+VLOOKUP(C70,'Round 4'!$D:$K,8,FALSE),0)),0))</f>
        <v/>
      </c>
      <c r="AH70" s="30" t="str">
        <f>IF(C70="","",IF(COUNTIF('Round 5'!$D:$D,C70)=1,IF(VLOOKUP(C70,'Round 5'!$D:$Q,14,FALSE)="",0,IF(AC70&gt;=5,(VLOOKUP(C70,'Round 5'!$D:$Q,14,FALSE)*10000)+VLOOKUP(C70,'Round 5'!$D:$K,8,FALSE),0)),0))</f>
        <v/>
      </c>
      <c r="AI70" s="58" t="str">
        <f t="shared" si="8"/>
        <v/>
      </c>
      <c r="AJ70" s="59" t="str">
        <f t="shared" si="9"/>
        <v/>
      </c>
    </row>
    <row r="71" spans="2:36" ht="15" thickBot="1" x14ac:dyDescent="0.35">
      <c r="B71" s="54" t="str">
        <f t="shared" si="3"/>
        <v/>
      </c>
      <c r="C71" s="9" t="str">
        <f t="shared" ref="C71:C86" si="10">IF(E71="","",V71)</f>
        <v/>
      </c>
      <c r="D71" s="70"/>
      <c r="E71" s="71"/>
      <c r="F71" s="70"/>
      <c r="G71" s="72"/>
      <c r="H71" s="73"/>
      <c r="I71" s="64">
        <f t="array" ref="I71">IF(H71&lt;&gt;"UCM",0,IF(AI71=LARGE(IF($H:$H="UCM",$AI:$AI,""),1),1,0))</f>
        <v>0</v>
      </c>
      <c r="J71" s="64">
        <f t="array" ref="J71">IF(H71&lt;&gt;"Scourge",0,IF(AI71=LARGE(IF($H:$H="Scourge",$AI:$AI,""),1),1,0))</f>
        <v>0</v>
      </c>
      <c r="K71" s="64">
        <f t="array" ref="K71">IF(H71&lt;&gt;"PHR",0,IF(AI71=LARGE(IF($H:$H="PHR",$AI:$AI,""),1),1,0))</f>
        <v>0</v>
      </c>
      <c r="L71" s="64">
        <f t="array" ref="L71">IF(H71&lt;&gt;"Shaltari",0,IF(AI71=LARGE(IF($H:$H="Shaltari",$AI:$AI,""),1),1,0))</f>
        <v>0</v>
      </c>
      <c r="M71" s="64">
        <f t="array" ref="M71">IF(H71&lt;&gt;"Resistance",0,IF(AI71=LARGE(IF($H:$H="Resistance",$AI:$AI,""),1),1,0))</f>
        <v>0</v>
      </c>
      <c r="N71" s="64">
        <f t="shared" si="4"/>
        <v>0</v>
      </c>
      <c r="O71" s="35"/>
      <c r="P71" s="64" t="str">
        <f t="shared" si="5"/>
        <v/>
      </c>
      <c r="Q71" s="79"/>
      <c r="R71" s="64">
        <f t="array" ref="R71">IF(Q71="",0,IF(COUNTIF(G:G,Q71)&gt;=1,LARGE(IF($G:$G=Q71,$AI:$AI),1),0))</f>
        <v>0</v>
      </c>
      <c r="S71" s="64">
        <f t="array" ref="S71">IF(Q71="",0,IF(COUNTIF(G:G,Q71)&gt;=2,LARGE(IF($G:$G=Q71,$AI:$AI),2),0))</f>
        <v>0</v>
      </c>
      <c r="T71" s="64">
        <f t="array" ref="T71">IF(Q71="",0,IF(COUNTIF(G:G,Q71)&gt;=3,LARGE(IF($G:$G=Q71,$AI:$AI),3),0))</f>
        <v>0</v>
      </c>
      <c r="U71" s="64">
        <f t="shared" si="6"/>
        <v>0</v>
      </c>
      <c r="V71">
        <v>65</v>
      </c>
      <c r="X71" s="9" t="str">
        <f>VLOOKUP(C71,'Round 1'!$D:$G,4,FALSE)</f>
        <v/>
      </c>
      <c r="Y71" s="1" t="str">
        <f>IF(COUNTIF('Round 2'!$D:$D,C71)=1,VLOOKUP(C71,'Round 2'!$D:$G,4,FALSE),"")</f>
        <v/>
      </c>
      <c r="Z71" s="1" t="str">
        <f>IF(COUNTIF('Round 3'!$D:$D,C71)=1,VLOOKUP(C71,'Round 3'!$D:$G,4,FALSE),"")</f>
        <v/>
      </c>
      <c r="AA71" s="10" t="str">
        <f>IF(COUNTIF('Round 4'!$D:$D,C71)=1,VLOOKUP(C71,'Round 4'!$D:$G,4,FALSE),"")</f>
        <v/>
      </c>
      <c r="AC71">
        <f>G4</f>
        <v>5</v>
      </c>
      <c r="AD71" s="9" t="str">
        <f>IF(C71="","",IF(COUNTIF('Round 1'!$D:$D,C71)=1,IF(VLOOKUP(C71,'Round 1'!$D:$Q,14,FALSE)="",0,IF(AC71&gt;=1,(VLOOKUP(C71,'Round 1'!$D:$Q,14,FALSE)*10000)+VLOOKUP(C71,'Round 1'!$D:$K,8,FALSE),0)),0))</f>
        <v/>
      </c>
      <c r="AE71" s="1" t="str">
        <f>IF(C71="","",IF(COUNTIF('Round 2'!$D:$D,C71)=1,IF(VLOOKUP(C71,'Round 2'!$D:$Q,14,FALSE)="",0,IF(AC71&gt;=2,(VLOOKUP(C71,'Round 2'!$D:$Q,14,FALSE)*10000)+VLOOKUP(C71,'Round 2'!$D:$K,8,FALSE),0)),0))</f>
        <v/>
      </c>
      <c r="AF71" s="1" t="str">
        <f>IF(C71="","",IF(COUNTIF('Round 3'!$D:$D,C71)=1,IF(VLOOKUP(C71,'Round 3'!$D:$Q,14,FALSE)="",0,IF(AC71&gt;=3,(VLOOKUP(C71,'Round 3'!$D:$Q,14,FALSE)*10000)+VLOOKUP(C71,'Round 3'!$D:$K,8,FALSE),0)),0))</f>
        <v/>
      </c>
      <c r="AG71" s="1" t="str">
        <f>IF(C71="","",IF(COUNTIF('Round 4'!$D:$D,C71)=1,IF(VLOOKUP(C71,'Round 4'!$D:$Q,14,FALSE)="",0,IF(AC71&gt;=4,(VLOOKUP(C71,'Round 4'!$D:$Q,14,FALSE)*10000)+VLOOKUP(C71,'Round 4'!$D:$K,8,FALSE),0)),0))</f>
        <v/>
      </c>
      <c r="AH71" s="30" t="str">
        <f>IF(C71="","",IF(COUNTIF('Round 5'!$D:$D,C71)=1,IF(VLOOKUP(C71,'Round 5'!$D:$Q,14,FALSE)="",0,IF(AC71&gt;=5,(VLOOKUP(C71,'Round 5'!$D:$Q,14,FALSE)*10000)+VLOOKUP(C71,'Round 5'!$D:$K,8,FALSE),0)),0))</f>
        <v/>
      </c>
      <c r="AI71" s="58" t="str">
        <f t="shared" ref="AI71:AI86" si="11">IF(C71="","",SUM(AD71:AH71))</f>
        <v/>
      </c>
      <c r="AJ71" s="59" t="str">
        <f t="shared" ref="AJ71:AJ86" si="12">IF(AI71="","",AI71+LARGE(C:C,1)+1-C71)</f>
        <v/>
      </c>
    </row>
    <row r="72" spans="2:36" ht="15" thickBot="1" x14ac:dyDescent="0.35">
      <c r="B72" s="54" t="str">
        <f t="shared" ref="B72:B86" si="13">IF(AI72="","",IF(COUNTIF(AI:AI,AI72)=1,RANK(AI72,AI:AI),RANK(AJ72,AJ:AJ)))</f>
        <v/>
      </c>
      <c r="C72" s="9" t="str">
        <f t="shared" si="10"/>
        <v/>
      </c>
      <c r="D72" s="70"/>
      <c r="E72" s="71"/>
      <c r="F72" s="70"/>
      <c r="G72" s="72"/>
      <c r="H72" s="73"/>
      <c r="I72" s="64">
        <f t="array" ref="I72">IF(H72&lt;&gt;"UCM",0,IF(AI72=LARGE(IF($H:$H="UCM",$AI:$AI,""),1),1,0))</f>
        <v>0</v>
      </c>
      <c r="J72" s="64">
        <f t="array" ref="J72">IF(H72&lt;&gt;"Scourge",0,IF(AI72=LARGE(IF($H:$H="Scourge",$AI:$AI,""),1),1,0))</f>
        <v>0</v>
      </c>
      <c r="K72" s="64">
        <f t="array" ref="K72">IF(H72&lt;&gt;"PHR",0,IF(AI72=LARGE(IF($H:$H="PHR",$AI:$AI,""),1),1,0))</f>
        <v>0</v>
      </c>
      <c r="L72" s="64">
        <f t="array" ref="L72">IF(H72&lt;&gt;"Shaltari",0,IF(AI72=LARGE(IF($H:$H="Shaltari",$AI:$AI,""),1),1,0))</f>
        <v>0</v>
      </c>
      <c r="M72" s="64">
        <f t="array" ref="M72">IF(H72&lt;&gt;"Resistance",0,IF(AI72=LARGE(IF($H:$H="Resistance",$AI:$AI,""),1),1,0))</f>
        <v>0</v>
      </c>
      <c r="N72" s="64">
        <f t="shared" ref="N72:N86" si="14">E72</f>
        <v>0</v>
      </c>
      <c r="O72" s="35"/>
      <c r="P72" s="64" t="str">
        <f t="shared" ref="P72:P86" si="15">IF(Q72="","",RANK(U72,U:U))</f>
        <v/>
      </c>
      <c r="Q72" s="79"/>
      <c r="R72" s="64">
        <f t="array" ref="R72">IF(Q72="",0,IF(COUNTIF(G:G,Q72)&gt;=1,LARGE(IF($G:$G=Q72,$AI:$AI),1),0))</f>
        <v>0</v>
      </c>
      <c r="S72" s="64">
        <f t="array" ref="S72">IF(Q72="",0,IF(COUNTIF(G:G,Q72)&gt;=2,LARGE(IF($G:$G=Q72,$AI:$AI),2),0))</f>
        <v>0</v>
      </c>
      <c r="T72" s="64">
        <f t="array" ref="T72">IF(Q72="",0,IF(COUNTIF(G:G,Q72)&gt;=3,LARGE(IF($G:$G=Q72,$AI:$AI),3),0))</f>
        <v>0</v>
      </c>
      <c r="U72" s="64">
        <f t="shared" ref="U72:U86" si="16">SUM(R72:T72)</f>
        <v>0</v>
      </c>
      <c r="V72">
        <v>66</v>
      </c>
      <c r="X72" s="9" t="str">
        <f>VLOOKUP(C72,'Round 1'!$D:$G,4,FALSE)</f>
        <v/>
      </c>
      <c r="Y72" s="1" t="str">
        <f>IF(COUNTIF('Round 2'!$D:$D,C72)=1,VLOOKUP(C72,'Round 2'!$D:$G,4,FALSE),"")</f>
        <v/>
      </c>
      <c r="Z72" s="1" t="str">
        <f>IF(COUNTIF('Round 3'!$D:$D,C72)=1,VLOOKUP(C72,'Round 3'!$D:$G,4,FALSE),"")</f>
        <v/>
      </c>
      <c r="AA72" s="10" t="str">
        <f>IF(COUNTIF('Round 4'!$D:$D,C72)=1,VLOOKUP(C72,'Round 4'!$D:$G,4,FALSE),"")</f>
        <v/>
      </c>
      <c r="AC72">
        <f>G4</f>
        <v>5</v>
      </c>
      <c r="AD72" s="9" t="str">
        <f>IF(C72="","",IF(COUNTIF('Round 1'!$D:$D,C72)=1,IF(VLOOKUP(C72,'Round 1'!$D:$Q,14,FALSE)="",0,IF(AC72&gt;=1,(VLOOKUP(C72,'Round 1'!$D:$Q,14,FALSE)*10000)+VLOOKUP(C72,'Round 1'!$D:$K,8,FALSE),0)),0))</f>
        <v/>
      </c>
      <c r="AE72" s="1" t="str">
        <f>IF(C72="","",IF(COUNTIF('Round 2'!$D:$D,C72)=1,IF(VLOOKUP(C72,'Round 2'!$D:$Q,14,FALSE)="",0,IF(AC72&gt;=2,(VLOOKUP(C72,'Round 2'!$D:$Q,14,FALSE)*10000)+VLOOKUP(C72,'Round 2'!$D:$K,8,FALSE),0)),0))</f>
        <v/>
      </c>
      <c r="AF72" s="1" t="str">
        <f>IF(C72="","",IF(COUNTIF('Round 3'!$D:$D,C72)=1,IF(VLOOKUP(C72,'Round 3'!$D:$Q,14,FALSE)="",0,IF(AC72&gt;=3,(VLOOKUP(C72,'Round 3'!$D:$Q,14,FALSE)*10000)+VLOOKUP(C72,'Round 3'!$D:$K,8,FALSE),0)),0))</f>
        <v/>
      </c>
      <c r="AG72" s="1" t="str">
        <f>IF(C72="","",IF(COUNTIF('Round 4'!$D:$D,C72)=1,IF(VLOOKUP(C72,'Round 4'!$D:$Q,14,FALSE)="",0,IF(AC72&gt;=4,(VLOOKUP(C72,'Round 4'!$D:$Q,14,FALSE)*10000)+VLOOKUP(C72,'Round 4'!$D:$K,8,FALSE),0)),0))</f>
        <v/>
      </c>
      <c r="AH72" s="30" t="str">
        <f>IF(C72="","",IF(COUNTIF('Round 5'!$D:$D,C72)=1,IF(VLOOKUP(C72,'Round 5'!$D:$Q,14,FALSE)="",0,IF(AC72&gt;=5,(VLOOKUP(C72,'Round 5'!$D:$Q,14,FALSE)*10000)+VLOOKUP(C72,'Round 5'!$D:$K,8,FALSE),0)),0))</f>
        <v/>
      </c>
      <c r="AI72" s="58" t="str">
        <f t="shared" si="11"/>
        <v/>
      </c>
      <c r="AJ72" s="59" t="str">
        <f t="shared" si="12"/>
        <v/>
      </c>
    </row>
    <row r="73" spans="2:36" ht="15" thickBot="1" x14ac:dyDescent="0.35">
      <c r="B73" s="54" t="str">
        <f t="shared" si="13"/>
        <v/>
      </c>
      <c r="C73" s="9" t="str">
        <f t="shared" si="10"/>
        <v/>
      </c>
      <c r="D73" s="70"/>
      <c r="E73" s="71"/>
      <c r="F73" s="70"/>
      <c r="G73" s="72"/>
      <c r="H73" s="73"/>
      <c r="I73" s="64">
        <f t="array" ref="I73">IF(H73&lt;&gt;"UCM",0,IF(AI73=LARGE(IF($H:$H="UCM",$AI:$AI,""),1),1,0))</f>
        <v>0</v>
      </c>
      <c r="J73" s="64">
        <f t="array" ref="J73">IF(H73&lt;&gt;"Scourge",0,IF(AI73=LARGE(IF($H:$H="Scourge",$AI:$AI,""),1),1,0))</f>
        <v>0</v>
      </c>
      <c r="K73" s="64">
        <f t="array" ref="K73">IF(H73&lt;&gt;"PHR",0,IF(AI73=LARGE(IF($H:$H="PHR",$AI:$AI,""),1),1,0))</f>
        <v>0</v>
      </c>
      <c r="L73" s="64">
        <f t="array" ref="L73">IF(H73&lt;&gt;"Shaltari",0,IF(AI73=LARGE(IF($H:$H="Shaltari",$AI:$AI,""),1),1,0))</f>
        <v>0</v>
      </c>
      <c r="M73" s="64">
        <f t="array" ref="M73">IF(H73&lt;&gt;"Resistance",0,IF(AI73=LARGE(IF($H:$H="Resistance",$AI:$AI,""),1),1,0))</f>
        <v>0</v>
      </c>
      <c r="N73" s="64">
        <f t="shared" si="14"/>
        <v>0</v>
      </c>
      <c r="O73" s="35"/>
      <c r="P73" s="64" t="str">
        <f t="shared" si="15"/>
        <v/>
      </c>
      <c r="Q73" s="79"/>
      <c r="R73" s="64">
        <f t="array" ref="R73">IF(Q73="",0,IF(COUNTIF(G:G,Q73)&gt;=1,LARGE(IF($G:$G=Q73,$AI:$AI),1),0))</f>
        <v>0</v>
      </c>
      <c r="S73" s="64">
        <f t="array" ref="S73">IF(Q73="",0,IF(COUNTIF(G:G,Q73)&gt;=2,LARGE(IF($G:$G=Q73,$AI:$AI),2),0))</f>
        <v>0</v>
      </c>
      <c r="T73" s="64">
        <f t="array" ref="T73">IF(Q73="",0,IF(COUNTIF(G:G,Q73)&gt;=3,LARGE(IF($G:$G=Q73,$AI:$AI),3),0))</f>
        <v>0</v>
      </c>
      <c r="U73" s="64">
        <f t="shared" si="16"/>
        <v>0</v>
      </c>
      <c r="V73">
        <v>67</v>
      </c>
      <c r="X73" s="9" t="str">
        <f>VLOOKUP(C73,'Round 1'!$D:$G,4,FALSE)</f>
        <v/>
      </c>
      <c r="Y73" s="1" t="str">
        <f>IF(COUNTIF('Round 2'!$D:$D,C73)=1,VLOOKUP(C73,'Round 2'!$D:$G,4,FALSE),"")</f>
        <v/>
      </c>
      <c r="Z73" s="1" t="str">
        <f>IF(COUNTIF('Round 3'!$D:$D,C73)=1,VLOOKUP(C73,'Round 3'!$D:$G,4,FALSE),"")</f>
        <v/>
      </c>
      <c r="AA73" s="10" t="str">
        <f>IF(COUNTIF('Round 4'!$D:$D,C73)=1,VLOOKUP(C73,'Round 4'!$D:$G,4,FALSE),"")</f>
        <v/>
      </c>
      <c r="AC73">
        <f>G4</f>
        <v>5</v>
      </c>
      <c r="AD73" s="9" t="str">
        <f>IF(C73="","",IF(COUNTIF('Round 1'!$D:$D,C73)=1,IF(VLOOKUP(C73,'Round 1'!$D:$Q,14,FALSE)="",0,IF(AC73&gt;=1,(VLOOKUP(C73,'Round 1'!$D:$Q,14,FALSE)*10000)+VLOOKUP(C73,'Round 1'!$D:$K,8,FALSE),0)),0))</f>
        <v/>
      </c>
      <c r="AE73" s="1" t="str">
        <f>IF(C73="","",IF(COUNTIF('Round 2'!$D:$D,C73)=1,IF(VLOOKUP(C73,'Round 2'!$D:$Q,14,FALSE)="",0,IF(AC73&gt;=2,(VLOOKUP(C73,'Round 2'!$D:$Q,14,FALSE)*10000)+VLOOKUP(C73,'Round 2'!$D:$K,8,FALSE),0)),0))</f>
        <v/>
      </c>
      <c r="AF73" s="1" t="str">
        <f>IF(C73="","",IF(COUNTIF('Round 3'!$D:$D,C73)=1,IF(VLOOKUP(C73,'Round 3'!$D:$Q,14,FALSE)="",0,IF(AC73&gt;=3,(VLOOKUP(C73,'Round 3'!$D:$Q,14,FALSE)*10000)+VLOOKUP(C73,'Round 3'!$D:$K,8,FALSE),0)),0))</f>
        <v/>
      </c>
      <c r="AG73" s="1" t="str">
        <f>IF(C73="","",IF(COUNTIF('Round 4'!$D:$D,C73)=1,IF(VLOOKUP(C73,'Round 4'!$D:$Q,14,FALSE)="",0,IF(AC73&gt;=4,(VLOOKUP(C73,'Round 4'!$D:$Q,14,FALSE)*10000)+VLOOKUP(C73,'Round 4'!$D:$K,8,FALSE),0)),0))</f>
        <v/>
      </c>
      <c r="AH73" s="30" t="str">
        <f>IF(C73="","",IF(COUNTIF('Round 5'!$D:$D,C73)=1,IF(VLOOKUP(C73,'Round 5'!$D:$Q,14,FALSE)="",0,IF(AC73&gt;=5,(VLOOKUP(C73,'Round 5'!$D:$Q,14,FALSE)*10000)+VLOOKUP(C73,'Round 5'!$D:$K,8,FALSE),0)),0))</f>
        <v/>
      </c>
      <c r="AI73" s="58" t="str">
        <f t="shared" si="11"/>
        <v/>
      </c>
      <c r="AJ73" s="59" t="str">
        <f t="shared" si="12"/>
        <v/>
      </c>
    </row>
    <row r="74" spans="2:36" ht="15" thickBot="1" x14ac:dyDescent="0.35">
      <c r="B74" s="54" t="str">
        <f t="shared" si="13"/>
        <v/>
      </c>
      <c r="C74" s="9" t="str">
        <f t="shared" si="10"/>
        <v/>
      </c>
      <c r="D74" s="70"/>
      <c r="E74" s="71"/>
      <c r="F74" s="70"/>
      <c r="G74" s="72"/>
      <c r="H74" s="73"/>
      <c r="I74" s="64">
        <f t="array" ref="I74">IF(H74&lt;&gt;"UCM",0,IF(AI74=LARGE(IF($H:$H="UCM",$AI:$AI,""),1),1,0))</f>
        <v>0</v>
      </c>
      <c r="J74" s="64">
        <f t="array" ref="J74">IF(H74&lt;&gt;"Scourge",0,IF(AI74=LARGE(IF($H:$H="Scourge",$AI:$AI,""),1),1,0))</f>
        <v>0</v>
      </c>
      <c r="K74" s="64">
        <f t="array" ref="K74">IF(H74&lt;&gt;"PHR",0,IF(AI74=LARGE(IF($H:$H="PHR",$AI:$AI,""),1),1,0))</f>
        <v>0</v>
      </c>
      <c r="L74" s="64">
        <f t="array" ref="L74">IF(H74&lt;&gt;"Shaltari",0,IF(AI74=LARGE(IF($H:$H="Shaltari",$AI:$AI,""),1),1,0))</f>
        <v>0</v>
      </c>
      <c r="M74" s="64">
        <f t="array" ref="M74">IF(H74&lt;&gt;"Resistance",0,IF(AI74=LARGE(IF($H:$H="Resistance",$AI:$AI,""),1),1,0))</f>
        <v>0</v>
      </c>
      <c r="N74" s="64">
        <f t="shared" si="14"/>
        <v>0</v>
      </c>
      <c r="O74" s="35"/>
      <c r="P74" s="64" t="str">
        <f t="shared" si="15"/>
        <v/>
      </c>
      <c r="Q74" s="79"/>
      <c r="R74" s="64">
        <f t="array" ref="R74">IF(Q74="",0,IF(COUNTIF(G:G,Q74)&gt;=1,LARGE(IF($G:$G=Q74,$AI:$AI),1),0))</f>
        <v>0</v>
      </c>
      <c r="S74" s="64">
        <f t="array" ref="S74">IF(Q74="",0,IF(COUNTIF(G:G,Q74)&gt;=2,LARGE(IF($G:$G=Q74,$AI:$AI),2),0))</f>
        <v>0</v>
      </c>
      <c r="T74" s="64">
        <f t="array" ref="T74">IF(Q74="",0,IF(COUNTIF(G:G,Q74)&gt;=3,LARGE(IF($G:$G=Q74,$AI:$AI),3),0))</f>
        <v>0</v>
      </c>
      <c r="U74" s="64">
        <f t="shared" si="16"/>
        <v>0</v>
      </c>
      <c r="V74">
        <v>68</v>
      </c>
      <c r="X74" s="9" t="str">
        <f>VLOOKUP(C74,'Round 1'!$D:$G,4,FALSE)</f>
        <v/>
      </c>
      <c r="Y74" s="1" t="str">
        <f>IF(COUNTIF('Round 2'!$D:$D,C74)=1,VLOOKUP(C74,'Round 2'!$D:$G,4,FALSE),"")</f>
        <v/>
      </c>
      <c r="Z74" s="1" t="str">
        <f>IF(COUNTIF('Round 3'!$D:$D,C74)=1,VLOOKUP(C74,'Round 3'!$D:$G,4,FALSE),"")</f>
        <v/>
      </c>
      <c r="AA74" s="10" t="str">
        <f>IF(COUNTIF('Round 4'!$D:$D,C74)=1,VLOOKUP(C74,'Round 4'!$D:$G,4,FALSE),"")</f>
        <v/>
      </c>
      <c r="AC74">
        <f>G4</f>
        <v>5</v>
      </c>
      <c r="AD74" s="9" t="str">
        <f>IF(C74="","",IF(COUNTIF('Round 1'!$D:$D,C74)=1,IF(VLOOKUP(C74,'Round 1'!$D:$Q,14,FALSE)="",0,IF(AC74&gt;=1,(VLOOKUP(C74,'Round 1'!$D:$Q,14,FALSE)*10000)+VLOOKUP(C74,'Round 1'!$D:$K,8,FALSE),0)),0))</f>
        <v/>
      </c>
      <c r="AE74" s="1" t="str">
        <f>IF(C74="","",IF(COUNTIF('Round 2'!$D:$D,C74)=1,IF(VLOOKUP(C74,'Round 2'!$D:$Q,14,FALSE)="",0,IF(AC74&gt;=2,(VLOOKUP(C74,'Round 2'!$D:$Q,14,FALSE)*10000)+VLOOKUP(C74,'Round 2'!$D:$K,8,FALSE),0)),0))</f>
        <v/>
      </c>
      <c r="AF74" s="1" t="str">
        <f>IF(C74="","",IF(COUNTIF('Round 3'!$D:$D,C74)=1,IF(VLOOKUP(C74,'Round 3'!$D:$Q,14,FALSE)="",0,IF(AC74&gt;=3,(VLOOKUP(C74,'Round 3'!$D:$Q,14,FALSE)*10000)+VLOOKUP(C74,'Round 3'!$D:$K,8,FALSE),0)),0))</f>
        <v/>
      </c>
      <c r="AG74" s="1" t="str">
        <f>IF(C74="","",IF(COUNTIF('Round 4'!$D:$D,C74)=1,IF(VLOOKUP(C74,'Round 4'!$D:$Q,14,FALSE)="",0,IF(AC74&gt;=4,(VLOOKUP(C74,'Round 4'!$D:$Q,14,FALSE)*10000)+VLOOKUP(C74,'Round 4'!$D:$K,8,FALSE),0)),0))</f>
        <v/>
      </c>
      <c r="AH74" s="30" t="str">
        <f>IF(C74="","",IF(COUNTIF('Round 5'!$D:$D,C74)=1,IF(VLOOKUP(C74,'Round 5'!$D:$Q,14,FALSE)="",0,IF(AC74&gt;=5,(VLOOKUP(C74,'Round 5'!$D:$Q,14,FALSE)*10000)+VLOOKUP(C74,'Round 5'!$D:$K,8,FALSE),0)),0))</f>
        <v/>
      </c>
      <c r="AI74" s="58" t="str">
        <f t="shared" si="11"/>
        <v/>
      </c>
      <c r="AJ74" s="59" t="str">
        <f t="shared" si="12"/>
        <v/>
      </c>
    </row>
    <row r="75" spans="2:36" ht="15" thickBot="1" x14ac:dyDescent="0.35">
      <c r="B75" s="54" t="str">
        <f t="shared" si="13"/>
        <v/>
      </c>
      <c r="C75" s="9" t="str">
        <f t="shared" si="10"/>
        <v/>
      </c>
      <c r="D75" s="70"/>
      <c r="E75" s="71"/>
      <c r="F75" s="70"/>
      <c r="G75" s="72"/>
      <c r="H75" s="73"/>
      <c r="I75" s="64">
        <f t="array" ref="I75">IF(H75&lt;&gt;"UCM",0,IF(AI75=LARGE(IF($H:$H="UCM",$AI:$AI,""),1),1,0))</f>
        <v>0</v>
      </c>
      <c r="J75" s="64">
        <f t="array" ref="J75">IF(H75&lt;&gt;"Scourge",0,IF(AI75=LARGE(IF($H:$H="Scourge",$AI:$AI,""),1),1,0))</f>
        <v>0</v>
      </c>
      <c r="K75" s="64">
        <f t="array" ref="K75">IF(H75&lt;&gt;"PHR",0,IF(AI75=LARGE(IF($H:$H="PHR",$AI:$AI,""),1),1,0))</f>
        <v>0</v>
      </c>
      <c r="L75" s="64">
        <f t="array" ref="L75">IF(H75&lt;&gt;"Shaltari",0,IF(AI75=LARGE(IF($H:$H="Shaltari",$AI:$AI,""),1),1,0))</f>
        <v>0</v>
      </c>
      <c r="M75" s="64">
        <f t="array" ref="M75">IF(H75&lt;&gt;"Resistance",0,IF(AI75=LARGE(IF($H:$H="Resistance",$AI:$AI,""),1),1,0))</f>
        <v>0</v>
      </c>
      <c r="N75" s="64">
        <f t="shared" si="14"/>
        <v>0</v>
      </c>
      <c r="O75" s="35"/>
      <c r="P75" s="64" t="str">
        <f t="shared" si="15"/>
        <v/>
      </c>
      <c r="Q75" s="79"/>
      <c r="R75" s="64">
        <f t="array" ref="R75">IF(Q75="",0,IF(COUNTIF(G:G,Q75)&gt;=1,LARGE(IF($G:$G=Q75,$AI:$AI),1),0))</f>
        <v>0</v>
      </c>
      <c r="S75" s="64">
        <f t="array" ref="S75">IF(Q75="",0,IF(COUNTIF(G:G,Q75)&gt;=2,LARGE(IF($G:$G=Q75,$AI:$AI),2),0))</f>
        <v>0</v>
      </c>
      <c r="T75" s="64">
        <f t="array" ref="T75">IF(Q75="",0,IF(COUNTIF(G:G,Q75)&gt;=3,LARGE(IF($G:$G=Q75,$AI:$AI),3),0))</f>
        <v>0</v>
      </c>
      <c r="U75" s="64">
        <f t="shared" si="16"/>
        <v>0</v>
      </c>
      <c r="V75">
        <v>69</v>
      </c>
      <c r="X75" s="9" t="str">
        <f>VLOOKUP(C75,'Round 1'!$D:$G,4,FALSE)</f>
        <v/>
      </c>
      <c r="Y75" s="1" t="str">
        <f>IF(COUNTIF('Round 2'!$D:$D,C75)=1,VLOOKUP(C75,'Round 2'!$D:$G,4,FALSE),"")</f>
        <v/>
      </c>
      <c r="Z75" s="1" t="str">
        <f>IF(COUNTIF('Round 3'!$D:$D,C75)=1,VLOOKUP(C75,'Round 3'!$D:$G,4,FALSE),"")</f>
        <v/>
      </c>
      <c r="AA75" s="10" t="str">
        <f>IF(COUNTIF('Round 4'!$D:$D,C75)=1,VLOOKUP(C75,'Round 4'!$D:$G,4,FALSE),"")</f>
        <v/>
      </c>
      <c r="AC75">
        <f>G4</f>
        <v>5</v>
      </c>
      <c r="AD75" s="9" t="str">
        <f>IF(C75="","",IF(COUNTIF('Round 1'!$D:$D,C75)=1,IF(VLOOKUP(C75,'Round 1'!$D:$Q,14,FALSE)="",0,IF(AC75&gt;=1,(VLOOKUP(C75,'Round 1'!$D:$Q,14,FALSE)*10000)+VLOOKUP(C75,'Round 1'!$D:$K,8,FALSE),0)),0))</f>
        <v/>
      </c>
      <c r="AE75" s="1" t="str">
        <f>IF(C75="","",IF(COUNTIF('Round 2'!$D:$D,C75)=1,IF(VLOOKUP(C75,'Round 2'!$D:$Q,14,FALSE)="",0,IF(AC75&gt;=2,(VLOOKUP(C75,'Round 2'!$D:$Q,14,FALSE)*10000)+VLOOKUP(C75,'Round 2'!$D:$K,8,FALSE),0)),0))</f>
        <v/>
      </c>
      <c r="AF75" s="1" t="str">
        <f>IF(C75="","",IF(COUNTIF('Round 3'!$D:$D,C75)=1,IF(VLOOKUP(C75,'Round 3'!$D:$Q,14,FALSE)="",0,IF(AC75&gt;=3,(VLOOKUP(C75,'Round 3'!$D:$Q,14,FALSE)*10000)+VLOOKUP(C75,'Round 3'!$D:$K,8,FALSE),0)),0))</f>
        <v/>
      </c>
      <c r="AG75" s="1" t="str">
        <f>IF(C75="","",IF(COUNTIF('Round 4'!$D:$D,C75)=1,IF(VLOOKUP(C75,'Round 4'!$D:$Q,14,FALSE)="",0,IF(AC75&gt;=4,(VLOOKUP(C75,'Round 4'!$D:$Q,14,FALSE)*10000)+VLOOKUP(C75,'Round 4'!$D:$K,8,FALSE),0)),0))</f>
        <v/>
      </c>
      <c r="AH75" s="30" t="str">
        <f>IF(C75="","",IF(COUNTIF('Round 5'!$D:$D,C75)=1,IF(VLOOKUP(C75,'Round 5'!$D:$Q,14,FALSE)="",0,IF(AC75&gt;=5,(VLOOKUP(C75,'Round 5'!$D:$Q,14,FALSE)*10000)+VLOOKUP(C75,'Round 5'!$D:$K,8,FALSE),0)),0))</f>
        <v/>
      </c>
      <c r="AI75" s="58" t="str">
        <f t="shared" si="11"/>
        <v/>
      </c>
      <c r="AJ75" s="59" t="str">
        <f t="shared" si="12"/>
        <v/>
      </c>
    </row>
    <row r="76" spans="2:36" ht="15" thickBot="1" x14ac:dyDescent="0.35">
      <c r="B76" s="54" t="str">
        <f t="shared" si="13"/>
        <v/>
      </c>
      <c r="C76" s="9" t="str">
        <f t="shared" si="10"/>
        <v/>
      </c>
      <c r="D76" s="70"/>
      <c r="E76" s="71"/>
      <c r="F76" s="70"/>
      <c r="G76" s="72"/>
      <c r="H76" s="73"/>
      <c r="I76" s="64">
        <f t="array" ref="I76">IF(H76&lt;&gt;"UCM",0,IF(AI76=LARGE(IF($H:$H="UCM",$AI:$AI,""),1),1,0))</f>
        <v>0</v>
      </c>
      <c r="J76" s="64">
        <f t="array" ref="J76">IF(H76&lt;&gt;"Scourge",0,IF(AI76=LARGE(IF($H:$H="Scourge",$AI:$AI,""),1),1,0))</f>
        <v>0</v>
      </c>
      <c r="K76" s="64">
        <f t="array" ref="K76">IF(H76&lt;&gt;"PHR",0,IF(AI76=LARGE(IF($H:$H="PHR",$AI:$AI,""),1),1,0))</f>
        <v>0</v>
      </c>
      <c r="L76" s="64">
        <f t="array" ref="L76">IF(H76&lt;&gt;"Shaltari",0,IF(AI76=LARGE(IF($H:$H="Shaltari",$AI:$AI,""),1),1,0))</f>
        <v>0</v>
      </c>
      <c r="M76" s="64">
        <f t="array" ref="M76">IF(H76&lt;&gt;"Resistance",0,IF(AI76=LARGE(IF($H:$H="Resistance",$AI:$AI,""),1),1,0))</f>
        <v>0</v>
      </c>
      <c r="N76" s="64">
        <f t="shared" si="14"/>
        <v>0</v>
      </c>
      <c r="O76" s="35"/>
      <c r="P76" s="64" t="str">
        <f t="shared" si="15"/>
        <v/>
      </c>
      <c r="Q76" s="79"/>
      <c r="R76" s="64">
        <f t="array" ref="R76">IF(Q76="",0,IF(COUNTIF(G:G,Q76)&gt;=1,LARGE(IF($G:$G=Q76,$AI:$AI),1),0))</f>
        <v>0</v>
      </c>
      <c r="S76" s="64">
        <f t="array" ref="S76">IF(Q76="",0,IF(COUNTIF(G:G,Q76)&gt;=2,LARGE(IF($G:$G=Q76,$AI:$AI),2),0))</f>
        <v>0</v>
      </c>
      <c r="T76" s="64">
        <f t="array" ref="T76">IF(Q76="",0,IF(COUNTIF(G:G,Q76)&gt;=3,LARGE(IF($G:$G=Q76,$AI:$AI),3),0))</f>
        <v>0</v>
      </c>
      <c r="U76" s="64">
        <f t="shared" si="16"/>
        <v>0</v>
      </c>
      <c r="V76">
        <v>70</v>
      </c>
      <c r="X76" s="9" t="str">
        <f>VLOOKUP(C76,'Round 1'!$D:$G,4,FALSE)</f>
        <v/>
      </c>
      <c r="Y76" s="1" t="str">
        <f>IF(COUNTIF('Round 2'!$D:$D,C76)=1,VLOOKUP(C76,'Round 2'!$D:$G,4,FALSE),"")</f>
        <v/>
      </c>
      <c r="Z76" s="1" t="str">
        <f>IF(COUNTIF('Round 3'!$D:$D,C76)=1,VLOOKUP(C76,'Round 3'!$D:$G,4,FALSE),"")</f>
        <v/>
      </c>
      <c r="AA76" s="10" t="str">
        <f>IF(COUNTIF('Round 4'!$D:$D,C76)=1,VLOOKUP(C76,'Round 4'!$D:$G,4,FALSE),"")</f>
        <v/>
      </c>
      <c r="AC76">
        <f>G4</f>
        <v>5</v>
      </c>
      <c r="AD76" s="9" t="str">
        <f>IF(C76="","",IF(COUNTIF('Round 1'!$D:$D,C76)=1,IF(VLOOKUP(C76,'Round 1'!$D:$Q,14,FALSE)="",0,IF(AC76&gt;=1,(VLOOKUP(C76,'Round 1'!$D:$Q,14,FALSE)*10000)+VLOOKUP(C76,'Round 1'!$D:$K,8,FALSE),0)),0))</f>
        <v/>
      </c>
      <c r="AE76" s="1" t="str">
        <f>IF(C76="","",IF(COUNTIF('Round 2'!$D:$D,C76)=1,IF(VLOOKUP(C76,'Round 2'!$D:$Q,14,FALSE)="",0,IF(AC76&gt;=2,(VLOOKUP(C76,'Round 2'!$D:$Q,14,FALSE)*10000)+VLOOKUP(C76,'Round 2'!$D:$K,8,FALSE),0)),0))</f>
        <v/>
      </c>
      <c r="AF76" s="1" t="str">
        <f>IF(C76="","",IF(COUNTIF('Round 3'!$D:$D,C76)=1,IF(VLOOKUP(C76,'Round 3'!$D:$Q,14,FALSE)="",0,IF(AC76&gt;=3,(VLOOKUP(C76,'Round 3'!$D:$Q,14,FALSE)*10000)+VLOOKUP(C76,'Round 3'!$D:$K,8,FALSE),0)),0))</f>
        <v/>
      </c>
      <c r="AG76" s="1" t="str">
        <f>IF(C76="","",IF(COUNTIF('Round 4'!$D:$D,C76)=1,IF(VLOOKUP(C76,'Round 4'!$D:$Q,14,FALSE)="",0,IF(AC76&gt;=4,(VLOOKUP(C76,'Round 4'!$D:$Q,14,FALSE)*10000)+VLOOKUP(C76,'Round 4'!$D:$K,8,FALSE),0)),0))</f>
        <v/>
      </c>
      <c r="AH76" s="30" t="str">
        <f>IF(C76="","",IF(COUNTIF('Round 5'!$D:$D,C76)=1,IF(VLOOKUP(C76,'Round 5'!$D:$Q,14,FALSE)="",0,IF(AC76&gt;=5,(VLOOKUP(C76,'Round 5'!$D:$Q,14,FALSE)*10000)+VLOOKUP(C76,'Round 5'!$D:$K,8,FALSE),0)),0))</f>
        <v/>
      </c>
      <c r="AI76" s="58" t="str">
        <f t="shared" si="11"/>
        <v/>
      </c>
      <c r="AJ76" s="59" t="str">
        <f t="shared" si="12"/>
        <v/>
      </c>
    </row>
    <row r="77" spans="2:36" ht="15" thickBot="1" x14ac:dyDescent="0.35">
      <c r="B77" s="54" t="str">
        <f t="shared" si="13"/>
        <v/>
      </c>
      <c r="C77" s="9" t="str">
        <f t="shared" si="10"/>
        <v/>
      </c>
      <c r="D77" s="70"/>
      <c r="E77" s="71"/>
      <c r="F77" s="70"/>
      <c r="G77" s="72"/>
      <c r="H77" s="73"/>
      <c r="I77" s="64">
        <f t="array" ref="I77">IF(H77&lt;&gt;"UCM",0,IF(AI77=LARGE(IF($H:$H="UCM",$AI:$AI,""),1),1,0))</f>
        <v>0</v>
      </c>
      <c r="J77" s="64">
        <f t="array" ref="J77">IF(H77&lt;&gt;"Scourge",0,IF(AI77=LARGE(IF($H:$H="Scourge",$AI:$AI,""),1),1,0))</f>
        <v>0</v>
      </c>
      <c r="K77" s="64">
        <f t="array" ref="K77">IF(H77&lt;&gt;"PHR",0,IF(AI77=LARGE(IF($H:$H="PHR",$AI:$AI,""),1),1,0))</f>
        <v>0</v>
      </c>
      <c r="L77" s="64">
        <f t="array" ref="L77">IF(H77&lt;&gt;"Shaltari",0,IF(AI77=LARGE(IF($H:$H="Shaltari",$AI:$AI,""),1),1,0))</f>
        <v>0</v>
      </c>
      <c r="M77" s="64">
        <f t="array" ref="M77">IF(H77&lt;&gt;"Resistance",0,IF(AI77=LARGE(IF($H:$H="Resistance",$AI:$AI,""),1),1,0))</f>
        <v>0</v>
      </c>
      <c r="N77" s="64">
        <f t="shared" si="14"/>
        <v>0</v>
      </c>
      <c r="O77" s="35"/>
      <c r="P77" s="64" t="str">
        <f t="shared" si="15"/>
        <v/>
      </c>
      <c r="Q77" s="79"/>
      <c r="R77" s="64">
        <f t="array" ref="R77">IF(Q77="",0,IF(COUNTIF(G:G,Q77)&gt;=1,LARGE(IF($G:$G=Q77,$AI:$AI),1),0))</f>
        <v>0</v>
      </c>
      <c r="S77" s="64">
        <f t="array" ref="S77">IF(Q77="",0,IF(COUNTIF(G:G,Q77)&gt;=2,LARGE(IF($G:$G=Q77,$AI:$AI),2),0))</f>
        <v>0</v>
      </c>
      <c r="T77" s="64">
        <f t="array" ref="T77">IF(Q77="",0,IF(COUNTIF(G:G,Q77)&gt;=3,LARGE(IF($G:$G=Q77,$AI:$AI),3),0))</f>
        <v>0</v>
      </c>
      <c r="U77" s="64">
        <f t="shared" si="16"/>
        <v>0</v>
      </c>
      <c r="V77">
        <v>71</v>
      </c>
      <c r="X77" s="9" t="str">
        <f>VLOOKUP(C77,'Round 1'!$D:$G,4,FALSE)</f>
        <v/>
      </c>
      <c r="Y77" s="1" t="str">
        <f>IF(COUNTIF('Round 2'!$D:$D,C77)=1,VLOOKUP(C77,'Round 2'!$D:$G,4,FALSE),"")</f>
        <v/>
      </c>
      <c r="Z77" s="1" t="str">
        <f>IF(COUNTIF('Round 3'!$D:$D,C77)=1,VLOOKUP(C77,'Round 3'!$D:$G,4,FALSE),"")</f>
        <v/>
      </c>
      <c r="AA77" s="10" t="str">
        <f>IF(COUNTIF('Round 4'!$D:$D,C77)=1,VLOOKUP(C77,'Round 4'!$D:$G,4,FALSE),"")</f>
        <v/>
      </c>
      <c r="AC77">
        <f>G4</f>
        <v>5</v>
      </c>
      <c r="AD77" s="9" t="str">
        <f>IF(C77="","",IF(COUNTIF('Round 1'!$D:$D,C77)=1,IF(VLOOKUP(C77,'Round 1'!$D:$Q,14,FALSE)="",0,IF(AC77&gt;=1,(VLOOKUP(C77,'Round 1'!$D:$Q,14,FALSE)*10000)+VLOOKUP(C77,'Round 1'!$D:$K,8,FALSE),0)),0))</f>
        <v/>
      </c>
      <c r="AE77" s="1" t="str">
        <f>IF(C77="","",IF(COUNTIF('Round 2'!$D:$D,C77)=1,IF(VLOOKUP(C77,'Round 2'!$D:$Q,14,FALSE)="",0,IF(AC77&gt;=2,(VLOOKUP(C77,'Round 2'!$D:$Q,14,FALSE)*10000)+VLOOKUP(C77,'Round 2'!$D:$K,8,FALSE),0)),0))</f>
        <v/>
      </c>
      <c r="AF77" s="1" t="str">
        <f>IF(C77="","",IF(COUNTIF('Round 3'!$D:$D,C77)=1,IF(VLOOKUP(C77,'Round 3'!$D:$Q,14,FALSE)="",0,IF(AC77&gt;=3,(VLOOKUP(C77,'Round 3'!$D:$Q,14,FALSE)*10000)+VLOOKUP(C77,'Round 3'!$D:$K,8,FALSE),0)),0))</f>
        <v/>
      </c>
      <c r="AG77" s="1" t="str">
        <f>IF(C77="","",IF(COUNTIF('Round 4'!$D:$D,C77)=1,IF(VLOOKUP(C77,'Round 4'!$D:$Q,14,FALSE)="",0,IF(AC77&gt;=4,(VLOOKUP(C77,'Round 4'!$D:$Q,14,FALSE)*10000)+VLOOKUP(C77,'Round 4'!$D:$K,8,FALSE),0)),0))</f>
        <v/>
      </c>
      <c r="AH77" s="30" t="str">
        <f>IF(C77="","",IF(COUNTIF('Round 5'!$D:$D,C77)=1,IF(VLOOKUP(C77,'Round 5'!$D:$Q,14,FALSE)="",0,IF(AC77&gt;=5,(VLOOKUP(C77,'Round 5'!$D:$Q,14,FALSE)*10000)+VLOOKUP(C77,'Round 5'!$D:$K,8,FALSE),0)),0))</f>
        <v/>
      </c>
      <c r="AI77" s="58" t="str">
        <f t="shared" si="11"/>
        <v/>
      </c>
      <c r="AJ77" s="59" t="str">
        <f t="shared" si="12"/>
        <v/>
      </c>
    </row>
    <row r="78" spans="2:36" ht="15" thickBot="1" x14ac:dyDescent="0.35">
      <c r="B78" s="54" t="str">
        <f t="shared" si="13"/>
        <v/>
      </c>
      <c r="C78" s="9" t="str">
        <f t="shared" si="10"/>
        <v/>
      </c>
      <c r="D78" s="70"/>
      <c r="E78" s="71"/>
      <c r="F78" s="70"/>
      <c r="G78" s="72"/>
      <c r="H78" s="73"/>
      <c r="I78" s="64">
        <f t="array" ref="I78">IF(H78&lt;&gt;"UCM",0,IF(AI78=LARGE(IF($H:$H="UCM",$AI:$AI,""),1),1,0))</f>
        <v>0</v>
      </c>
      <c r="J78" s="64">
        <f t="array" ref="J78">IF(H78&lt;&gt;"Scourge",0,IF(AI78=LARGE(IF($H:$H="Scourge",$AI:$AI,""),1),1,0))</f>
        <v>0</v>
      </c>
      <c r="K78" s="64">
        <f t="array" ref="K78">IF(H78&lt;&gt;"PHR",0,IF(AI78=LARGE(IF($H:$H="PHR",$AI:$AI,""),1),1,0))</f>
        <v>0</v>
      </c>
      <c r="L78" s="64">
        <f t="array" ref="L78">IF(H78&lt;&gt;"Shaltari",0,IF(AI78=LARGE(IF($H:$H="Shaltari",$AI:$AI,""),1),1,0))</f>
        <v>0</v>
      </c>
      <c r="M78" s="64">
        <f t="array" ref="M78">IF(H78&lt;&gt;"Resistance",0,IF(AI78=LARGE(IF($H:$H="Resistance",$AI:$AI,""),1),1,0))</f>
        <v>0</v>
      </c>
      <c r="N78" s="64">
        <f t="shared" si="14"/>
        <v>0</v>
      </c>
      <c r="O78" s="35"/>
      <c r="P78" s="64" t="str">
        <f t="shared" si="15"/>
        <v/>
      </c>
      <c r="Q78" s="79"/>
      <c r="R78" s="64">
        <f t="array" ref="R78">IF(Q78="",0,IF(COUNTIF(G:G,Q78)&gt;=1,LARGE(IF($G:$G=Q78,$AI:$AI),1),0))</f>
        <v>0</v>
      </c>
      <c r="S78" s="64">
        <f t="array" ref="S78">IF(Q78="",0,IF(COUNTIF(G:G,Q78)&gt;=2,LARGE(IF($G:$G=Q78,$AI:$AI),2),0))</f>
        <v>0</v>
      </c>
      <c r="T78" s="64">
        <f t="array" ref="T78">IF(Q78="",0,IF(COUNTIF(G:G,Q78)&gt;=3,LARGE(IF($G:$G=Q78,$AI:$AI),3),0))</f>
        <v>0</v>
      </c>
      <c r="U78" s="64">
        <f t="shared" si="16"/>
        <v>0</v>
      </c>
      <c r="V78">
        <v>72</v>
      </c>
      <c r="X78" s="9" t="str">
        <f>VLOOKUP(C78,'Round 1'!$D:$G,4,FALSE)</f>
        <v/>
      </c>
      <c r="Y78" s="1" t="str">
        <f>IF(COUNTIF('Round 2'!$D:$D,C78)=1,VLOOKUP(C78,'Round 2'!$D:$G,4,FALSE),"")</f>
        <v/>
      </c>
      <c r="Z78" s="1" t="str">
        <f>IF(COUNTIF('Round 3'!$D:$D,C78)=1,VLOOKUP(C78,'Round 3'!$D:$G,4,FALSE),"")</f>
        <v/>
      </c>
      <c r="AA78" s="10" t="str">
        <f>IF(COUNTIF('Round 4'!$D:$D,C78)=1,VLOOKUP(C78,'Round 4'!$D:$G,4,FALSE),"")</f>
        <v/>
      </c>
      <c r="AC78">
        <f>G4</f>
        <v>5</v>
      </c>
      <c r="AD78" s="9" t="str">
        <f>IF(C78="","",IF(COUNTIF('Round 1'!$D:$D,C78)=1,IF(VLOOKUP(C78,'Round 1'!$D:$Q,14,FALSE)="",0,IF(AC78&gt;=1,(VLOOKUP(C78,'Round 1'!$D:$Q,14,FALSE)*10000)+VLOOKUP(C78,'Round 1'!$D:$K,8,FALSE),0)),0))</f>
        <v/>
      </c>
      <c r="AE78" s="1" t="str">
        <f>IF(C78="","",IF(COUNTIF('Round 2'!$D:$D,C78)=1,IF(VLOOKUP(C78,'Round 2'!$D:$Q,14,FALSE)="",0,IF(AC78&gt;=2,(VLOOKUP(C78,'Round 2'!$D:$Q,14,FALSE)*10000)+VLOOKUP(C78,'Round 2'!$D:$K,8,FALSE),0)),0))</f>
        <v/>
      </c>
      <c r="AF78" s="1" t="str">
        <f>IF(C78="","",IF(COUNTIF('Round 3'!$D:$D,C78)=1,IF(VLOOKUP(C78,'Round 3'!$D:$Q,14,FALSE)="",0,IF(AC78&gt;=3,(VLOOKUP(C78,'Round 3'!$D:$Q,14,FALSE)*10000)+VLOOKUP(C78,'Round 3'!$D:$K,8,FALSE),0)),0))</f>
        <v/>
      </c>
      <c r="AG78" s="1" t="str">
        <f>IF(C78="","",IF(COUNTIF('Round 4'!$D:$D,C78)=1,IF(VLOOKUP(C78,'Round 4'!$D:$Q,14,FALSE)="",0,IF(AC78&gt;=4,(VLOOKUP(C78,'Round 4'!$D:$Q,14,FALSE)*10000)+VLOOKUP(C78,'Round 4'!$D:$K,8,FALSE),0)),0))</f>
        <v/>
      </c>
      <c r="AH78" s="30" t="str">
        <f>IF(C78="","",IF(COUNTIF('Round 5'!$D:$D,C78)=1,IF(VLOOKUP(C78,'Round 5'!$D:$Q,14,FALSE)="",0,IF(AC78&gt;=5,(VLOOKUP(C78,'Round 5'!$D:$Q,14,FALSE)*10000)+VLOOKUP(C78,'Round 5'!$D:$K,8,FALSE),0)),0))</f>
        <v/>
      </c>
      <c r="AI78" s="58" t="str">
        <f t="shared" si="11"/>
        <v/>
      </c>
      <c r="AJ78" s="59" t="str">
        <f t="shared" si="12"/>
        <v/>
      </c>
    </row>
    <row r="79" spans="2:36" ht="15" thickBot="1" x14ac:dyDescent="0.35">
      <c r="B79" s="54" t="str">
        <f t="shared" si="13"/>
        <v/>
      </c>
      <c r="C79" s="9" t="str">
        <f t="shared" si="10"/>
        <v/>
      </c>
      <c r="D79" s="70"/>
      <c r="E79" s="71"/>
      <c r="F79" s="70"/>
      <c r="G79" s="72"/>
      <c r="H79" s="73"/>
      <c r="I79" s="64">
        <f t="array" ref="I79">IF(H79&lt;&gt;"UCM",0,IF(AI79=LARGE(IF($H:$H="UCM",$AI:$AI,""),1),1,0))</f>
        <v>0</v>
      </c>
      <c r="J79" s="64">
        <f t="array" ref="J79">IF(H79&lt;&gt;"Scourge",0,IF(AI79=LARGE(IF($H:$H="Scourge",$AI:$AI,""),1),1,0))</f>
        <v>0</v>
      </c>
      <c r="K79" s="64">
        <f t="array" ref="K79">IF(H79&lt;&gt;"PHR",0,IF(AI79=LARGE(IF($H:$H="PHR",$AI:$AI,""),1),1,0))</f>
        <v>0</v>
      </c>
      <c r="L79" s="64">
        <f t="array" ref="L79">IF(H79&lt;&gt;"Shaltari",0,IF(AI79=LARGE(IF($H:$H="Shaltari",$AI:$AI,""),1),1,0))</f>
        <v>0</v>
      </c>
      <c r="M79" s="64">
        <f t="array" ref="M79">IF(H79&lt;&gt;"Resistance",0,IF(AI79=LARGE(IF($H:$H="Resistance",$AI:$AI,""),1),1,0))</f>
        <v>0</v>
      </c>
      <c r="N79" s="64">
        <f t="shared" si="14"/>
        <v>0</v>
      </c>
      <c r="O79" s="35"/>
      <c r="P79" s="64" t="str">
        <f t="shared" si="15"/>
        <v/>
      </c>
      <c r="Q79" s="79"/>
      <c r="R79" s="64">
        <f t="array" ref="R79">IF(Q79="",0,IF(COUNTIF(G:G,Q79)&gt;=1,LARGE(IF($G:$G=Q79,$AI:$AI),1),0))</f>
        <v>0</v>
      </c>
      <c r="S79" s="64">
        <f t="array" ref="S79">IF(Q79="",0,IF(COUNTIF(G:G,Q79)&gt;=2,LARGE(IF($G:$G=Q79,$AI:$AI),2),0))</f>
        <v>0</v>
      </c>
      <c r="T79" s="64">
        <f t="array" ref="T79">IF(Q79="",0,IF(COUNTIF(G:G,Q79)&gt;=3,LARGE(IF($G:$G=Q79,$AI:$AI),3),0))</f>
        <v>0</v>
      </c>
      <c r="U79" s="64">
        <f t="shared" si="16"/>
        <v>0</v>
      </c>
      <c r="V79">
        <v>73</v>
      </c>
      <c r="X79" s="9" t="str">
        <f>VLOOKUP(C79,'Round 1'!$D:$G,4,FALSE)</f>
        <v/>
      </c>
      <c r="Y79" s="1" t="str">
        <f>IF(COUNTIF('Round 2'!$D:$D,C79)=1,VLOOKUP(C79,'Round 2'!$D:$G,4,FALSE),"")</f>
        <v/>
      </c>
      <c r="Z79" s="1" t="str">
        <f>IF(COUNTIF('Round 3'!$D:$D,C79)=1,VLOOKUP(C79,'Round 3'!$D:$G,4,FALSE),"")</f>
        <v/>
      </c>
      <c r="AA79" s="10" t="str">
        <f>IF(COUNTIF('Round 4'!$D:$D,C79)=1,VLOOKUP(C79,'Round 4'!$D:$G,4,FALSE),"")</f>
        <v/>
      </c>
      <c r="AC79">
        <f>G4</f>
        <v>5</v>
      </c>
      <c r="AD79" s="9" t="str">
        <f>IF(C79="","",IF(COUNTIF('Round 1'!$D:$D,C79)=1,IF(VLOOKUP(C79,'Round 1'!$D:$Q,14,FALSE)="",0,IF(AC79&gt;=1,(VLOOKUP(C79,'Round 1'!$D:$Q,14,FALSE)*10000)+VLOOKUP(C79,'Round 1'!$D:$K,8,FALSE),0)),0))</f>
        <v/>
      </c>
      <c r="AE79" s="1" t="str">
        <f>IF(C79="","",IF(COUNTIF('Round 2'!$D:$D,C79)=1,IF(VLOOKUP(C79,'Round 2'!$D:$Q,14,FALSE)="",0,IF(AC79&gt;=2,(VLOOKUP(C79,'Round 2'!$D:$Q,14,FALSE)*10000)+VLOOKUP(C79,'Round 2'!$D:$K,8,FALSE),0)),0))</f>
        <v/>
      </c>
      <c r="AF79" s="1" t="str">
        <f>IF(C79="","",IF(COUNTIF('Round 3'!$D:$D,C79)=1,IF(VLOOKUP(C79,'Round 3'!$D:$Q,14,FALSE)="",0,IF(AC79&gt;=3,(VLOOKUP(C79,'Round 3'!$D:$Q,14,FALSE)*10000)+VLOOKUP(C79,'Round 3'!$D:$K,8,FALSE),0)),0))</f>
        <v/>
      </c>
      <c r="AG79" s="1" t="str">
        <f>IF(C79="","",IF(COUNTIF('Round 4'!$D:$D,C79)=1,IF(VLOOKUP(C79,'Round 4'!$D:$Q,14,FALSE)="",0,IF(AC79&gt;=4,(VLOOKUP(C79,'Round 4'!$D:$Q,14,FALSE)*10000)+VLOOKUP(C79,'Round 4'!$D:$K,8,FALSE),0)),0))</f>
        <v/>
      </c>
      <c r="AH79" s="30" t="str">
        <f>IF(C79="","",IF(COUNTIF('Round 5'!$D:$D,C79)=1,IF(VLOOKUP(C79,'Round 5'!$D:$Q,14,FALSE)="",0,IF(AC79&gt;=5,(VLOOKUP(C79,'Round 5'!$D:$Q,14,FALSE)*10000)+VLOOKUP(C79,'Round 5'!$D:$K,8,FALSE),0)),0))</f>
        <v/>
      </c>
      <c r="AI79" s="58" t="str">
        <f t="shared" si="11"/>
        <v/>
      </c>
      <c r="AJ79" s="59" t="str">
        <f t="shared" si="12"/>
        <v/>
      </c>
    </row>
    <row r="80" spans="2:36" ht="15" thickBot="1" x14ac:dyDescent="0.35">
      <c r="B80" s="54" t="str">
        <f t="shared" si="13"/>
        <v/>
      </c>
      <c r="C80" s="9" t="str">
        <f t="shared" si="10"/>
        <v/>
      </c>
      <c r="D80" s="70"/>
      <c r="E80" s="71"/>
      <c r="F80" s="70"/>
      <c r="G80" s="72"/>
      <c r="H80" s="73"/>
      <c r="I80" s="64">
        <f t="array" ref="I80">IF(H80&lt;&gt;"UCM",0,IF(AI80=LARGE(IF($H:$H="UCM",$AI:$AI,""),1),1,0))</f>
        <v>0</v>
      </c>
      <c r="J80" s="64">
        <f t="array" ref="J80">IF(H80&lt;&gt;"Scourge",0,IF(AI80=LARGE(IF($H:$H="Scourge",$AI:$AI,""),1),1,0))</f>
        <v>0</v>
      </c>
      <c r="K80" s="64">
        <f t="array" ref="K80">IF(H80&lt;&gt;"PHR",0,IF(AI80=LARGE(IF($H:$H="PHR",$AI:$AI,""),1),1,0))</f>
        <v>0</v>
      </c>
      <c r="L80" s="64">
        <f t="array" ref="L80">IF(H80&lt;&gt;"Shaltari",0,IF(AI80=LARGE(IF($H:$H="Shaltari",$AI:$AI,""),1),1,0))</f>
        <v>0</v>
      </c>
      <c r="M80" s="64">
        <f t="array" ref="M80">IF(H80&lt;&gt;"Resistance",0,IF(AI80=LARGE(IF($H:$H="Resistance",$AI:$AI,""),1),1,0))</f>
        <v>0</v>
      </c>
      <c r="N80" s="64">
        <f t="shared" si="14"/>
        <v>0</v>
      </c>
      <c r="O80" s="35"/>
      <c r="P80" s="64" t="str">
        <f t="shared" si="15"/>
        <v/>
      </c>
      <c r="Q80" s="79"/>
      <c r="R80" s="64">
        <f t="array" ref="R80">IF(Q80="",0,IF(COUNTIF(G:G,Q80)&gt;=1,LARGE(IF($G:$G=Q80,$AI:$AI),1),0))</f>
        <v>0</v>
      </c>
      <c r="S80" s="64">
        <f t="array" ref="S80">IF(Q80="",0,IF(COUNTIF(G:G,Q80)&gt;=2,LARGE(IF($G:$G=Q80,$AI:$AI),2),0))</f>
        <v>0</v>
      </c>
      <c r="T80" s="64">
        <f t="array" ref="T80">IF(Q80="",0,IF(COUNTIF(G:G,Q80)&gt;=3,LARGE(IF($G:$G=Q80,$AI:$AI),3),0))</f>
        <v>0</v>
      </c>
      <c r="U80" s="64">
        <f t="shared" si="16"/>
        <v>0</v>
      </c>
      <c r="V80">
        <v>74</v>
      </c>
      <c r="X80" s="9" t="str">
        <f>VLOOKUP(C80,'Round 1'!$D:$G,4,FALSE)</f>
        <v/>
      </c>
      <c r="Y80" s="1" t="str">
        <f>IF(COUNTIF('Round 2'!$D:$D,C80)=1,VLOOKUP(C80,'Round 2'!$D:$G,4,FALSE),"")</f>
        <v/>
      </c>
      <c r="Z80" s="1" t="str">
        <f>IF(COUNTIF('Round 3'!$D:$D,C80)=1,VLOOKUP(C80,'Round 3'!$D:$G,4,FALSE),"")</f>
        <v/>
      </c>
      <c r="AA80" s="10" t="str">
        <f>IF(COUNTIF('Round 4'!$D:$D,C80)=1,VLOOKUP(C80,'Round 4'!$D:$G,4,FALSE),"")</f>
        <v/>
      </c>
      <c r="AC80">
        <f>G4</f>
        <v>5</v>
      </c>
      <c r="AD80" s="9" t="str">
        <f>IF(C80="","",IF(COUNTIF('Round 1'!$D:$D,C80)=1,IF(VLOOKUP(C80,'Round 1'!$D:$Q,14,FALSE)="",0,IF(AC80&gt;=1,(VLOOKUP(C80,'Round 1'!$D:$Q,14,FALSE)*10000)+VLOOKUP(C80,'Round 1'!$D:$K,8,FALSE),0)),0))</f>
        <v/>
      </c>
      <c r="AE80" s="1" t="str">
        <f>IF(C80="","",IF(COUNTIF('Round 2'!$D:$D,C80)=1,IF(VLOOKUP(C80,'Round 2'!$D:$Q,14,FALSE)="",0,IF(AC80&gt;=2,(VLOOKUP(C80,'Round 2'!$D:$Q,14,FALSE)*10000)+VLOOKUP(C80,'Round 2'!$D:$K,8,FALSE),0)),0))</f>
        <v/>
      </c>
      <c r="AF80" s="1" t="str">
        <f>IF(C80="","",IF(COUNTIF('Round 3'!$D:$D,C80)=1,IF(VLOOKUP(C80,'Round 3'!$D:$Q,14,FALSE)="",0,IF(AC80&gt;=3,(VLOOKUP(C80,'Round 3'!$D:$Q,14,FALSE)*10000)+VLOOKUP(C80,'Round 3'!$D:$K,8,FALSE),0)),0))</f>
        <v/>
      </c>
      <c r="AG80" s="1" t="str">
        <f>IF(C80="","",IF(COUNTIF('Round 4'!$D:$D,C80)=1,IF(VLOOKUP(C80,'Round 4'!$D:$Q,14,FALSE)="",0,IF(AC80&gt;=4,(VLOOKUP(C80,'Round 4'!$D:$Q,14,FALSE)*10000)+VLOOKUP(C80,'Round 4'!$D:$K,8,FALSE),0)),0))</f>
        <v/>
      </c>
      <c r="AH80" s="30" t="str">
        <f>IF(C80="","",IF(COUNTIF('Round 5'!$D:$D,C80)=1,IF(VLOOKUP(C80,'Round 5'!$D:$Q,14,FALSE)="",0,IF(AC80&gt;=5,(VLOOKUP(C80,'Round 5'!$D:$Q,14,FALSE)*10000)+VLOOKUP(C80,'Round 5'!$D:$K,8,FALSE),0)),0))</f>
        <v/>
      </c>
      <c r="AI80" s="58" t="str">
        <f t="shared" si="11"/>
        <v/>
      </c>
      <c r="AJ80" s="59" t="str">
        <f t="shared" si="12"/>
        <v/>
      </c>
    </row>
    <row r="81" spans="2:36" ht="15" thickBot="1" x14ac:dyDescent="0.35">
      <c r="B81" s="54" t="str">
        <f t="shared" si="13"/>
        <v/>
      </c>
      <c r="C81" s="9" t="str">
        <f t="shared" si="10"/>
        <v/>
      </c>
      <c r="D81" s="70"/>
      <c r="E81" s="71"/>
      <c r="F81" s="70"/>
      <c r="G81" s="72"/>
      <c r="H81" s="73"/>
      <c r="I81" s="64">
        <f t="array" ref="I81">IF(H81&lt;&gt;"UCM",0,IF(AI81=LARGE(IF($H:$H="UCM",$AI:$AI,""),1),1,0))</f>
        <v>0</v>
      </c>
      <c r="J81" s="64">
        <f t="array" ref="J81">IF(H81&lt;&gt;"Scourge",0,IF(AI81=LARGE(IF($H:$H="Scourge",$AI:$AI,""),1),1,0))</f>
        <v>0</v>
      </c>
      <c r="K81" s="64">
        <f t="array" ref="K81">IF(H81&lt;&gt;"PHR",0,IF(AI81=LARGE(IF($H:$H="PHR",$AI:$AI,""),1),1,0))</f>
        <v>0</v>
      </c>
      <c r="L81" s="64">
        <f t="array" ref="L81">IF(H81&lt;&gt;"Shaltari",0,IF(AI81=LARGE(IF($H:$H="Shaltari",$AI:$AI,""),1),1,0))</f>
        <v>0</v>
      </c>
      <c r="M81" s="64">
        <f t="array" ref="M81">IF(H81&lt;&gt;"Resistance",0,IF(AI81=LARGE(IF($H:$H="Resistance",$AI:$AI,""),1),1,0))</f>
        <v>0</v>
      </c>
      <c r="N81" s="64">
        <f t="shared" si="14"/>
        <v>0</v>
      </c>
      <c r="O81" s="35"/>
      <c r="P81" s="64" t="str">
        <f t="shared" si="15"/>
        <v/>
      </c>
      <c r="Q81" s="79"/>
      <c r="R81" s="64">
        <f t="array" ref="R81">IF(Q81="",0,IF(COUNTIF(G:G,Q81)&gt;=1,LARGE(IF($G:$G=Q81,$AI:$AI),1),0))</f>
        <v>0</v>
      </c>
      <c r="S81" s="64">
        <f t="array" ref="S81">IF(Q81="",0,IF(COUNTIF(G:G,Q81)&gt;=2,LARGE(IF($G:$G=Q81,$AI:$AI),2),0))</f>
        <v>0</v>
      </c>
      <c r="T81" s="64">
        <f t="array" ref="T81">IF(Q81="",0,IF(COUNTIF(G:G,Q81)&gt;=3,LARGE(IF($G:$G=Q81,$AI:$AI),3),0))</f>
        <v>0</v>
      </c>
      <c r="U81" s="64">
        <f t="shared" si="16"/>
        <v>0</v>
      </c>
      <c r="V81">
        <v>75</v>
      </c>
      <c r="X81" s="9" t="str">
        <f>VLOOKUP(C81,'Round 1'!$D:$G,4,FALSE)</f>
        <v/>
      </c>
      <c r="Y81" s="1" t="str">
        <f>IF(COUNTIF('Round 2'!$D:$D,C81)=1,VLOOKUP(C81,'Round 2'!$D:$G,4,FALSE),"")</f>
        <v/>
      </c>
      <c r="Z81" s="1" t="str">
        <f>IF(COUNTIF('Round 3'!$D:$D,C81)=1,VLOOKUP(C81,'Round 3'!$D:$G,4,FALSE),"")</f>
        <v/>
      </c>
      <c r="AA81" s="10" t="str">
        <f>IF(COUNTIF('Round 4'!$D:$D,C81)=1,VLOOKUP(C81,'Round 4'!$D:$G,4,FALSE),"")</f>
        <v/>
      </c>
      <c r="AC81">
        <f>G4</f>
        <v>5</v>
      </c>
      <c r="AD81" s="9" t="str">
        <f>IF(C81="","",IF(COUNTIF('Round 1'!$D:$D,C81)=1,IF(VLOOKUP(C81,'Round 1'!$D:$Q,14,FALSE)="",0,IF(AC81&gt;=1,(VLOOKUP(C81,'Round 1'!$D:$Q,14,FALSE)*10000)+VLOOKUP(C81,'Round 1'!$D:$K,8,FALSE),0)),0))</f>
        <v/>
      </c>
      <c r="AE81" s="1" t="str">
        <f>IF(C81="","",IF(COUNTIF('Round 2'!$D:$D,C81)=1,IF(VLOOKUP(C81,'Round 2'!$D:$Q,14,FALSE)="",0,IF(AC81&gt;=2,(VLOOKUP(C81,'Round 2'!$D:$Q,14,FALSE)*10000)+VLOOKUP(C81,'Round 2'!$D:$K,8,FALSE),0)),0))</f>
        <v/>
      </c>
      <c r="AF81" s="1" t="str">
        <f>IF(C81="","",IF(COUNTIF('Round 3'!$D:$D,C81)=1,IF(VLOOKUP(C81,'Round 3'!$D:$Q,14,FALSE)="",0,IF(AC81&gt;=3,(VLOOKUP(C81,'Round 3'!$D:$Q,14,FALSE)*10000)+VLOOKUP(C81,'Round 3'!$D:$K,8,FALSE),0)),0))</f>
        <v/>
      </c>
      <c r="AG81" s="1" t="str">
        <f>IF(C81="","",IF(COUNTIF('Round 4'!$D:$D,C81)=1,IF(VLOOKUP(C81,'Round 4'!$D:$Q,14,FALSE)="",0,IF(AC81&gt;=4,(VLOOKUP(C81,'Round 4'!$D:$Q,14,FALSE)*10000)+VLOOKUP(C81,'Round 4'!$D:$K,8,FALSE),0)),0))</f>
        <v/>
      </c>
      <c r="AH81" s="30" t="str">
        <f>IF(C81="","",IF(COUNTIF('Round 5'!$D:$D,C81)=1,IF(VLOOKUP(C81,'Round 5'!$D:$Q,14,FALSE)="",0,IF(AC81&gt;=5,(VLOOKUP(C81,'Round 5'!$D:$Q,14,FALSE)*10000)+VLOOKUP(C81,'Round 5'!$D:$K,8,FALSE),0)),0))</f>
        <v/>
      </c>
      <c r="AI81" s="58" t="str">
        <f t="shared" si="11"/>
        <v/>
      </c>
      <c r="AJ81" s="59" t="str">
        <f t="shared" si="12"/>
        <v/>
      </c>
    </row>
    <row r="82" spans="2:36" ht="15" thickBot="1" x14ac:dyDescent="0.35">
      <c r="B82" s="54" t="str">
        <f t="shared" si="13"/>
        <v/>
      </c>
      <c r="C82" s="9" t="str">
        <f t="shared" si="10"/>
        <v/>
      </c>
      <c r="D82" s="70"/>
      <c r="E82" s="71"/>
      <c r="F82" s="70"/>
      <c r="G82" s="72"/>
      <c r="H82" s="73"/>
      <c r="I82" s="64">
        <f t="array" ref="I82">IF(H82&lt;&gt;"UCM",0,IF(AI82=LARGE(IF($H:$H="UCM",$AI:$AI,""),1),1,0))</f>
        <v>0</v>
      </c>
      <c r="J82" s="64">
        <f t="array" ref="J82">IF(H82&lt;&gt;"Scourge",0,IF(AI82=LARGE(IF($H:$H="Scourge",$AI:$AI,""),1),1,0))</f>
        <v>0</v>
      </c>
      <c r="K82" s="64">
        <f t="array" ref="K82">IF(H82&lt;&gt;"PHR",0,IF(AI82=LARGE(IF($H:$H="PHR",$AI:$AI,""),1),1,0))</f>
        <v>0</v>
      </c>
      <c r="L82" s="64">
        <f t="array" ref="L82">IF(H82&lt;&gt;"Shaltari",0,IF(AI82=LARGE(IF($H:$H="Shaltari",$AI:$AI,""),1),1,0))</f>
        <v>0</v>
      </c>
      <c r="M82" s="64">
        <f t="array" ref="M82">IF(H82&lt;&gt;"Resistance",0,IF(AI82=LARGE(IF($H:$H="Resistance",$AI:$AI,""),1),1,0))</f>
        <v>0</v>
      </c>
      <c r="N82" s="64">
        <f t="shared" si="14"/>
        <v>0</v>
      </c>
      <c r="O82" s="35"/>
      <c r="P82" s="64" t="str">
        <f t="shared" si="15"/>
        <v/>
      </c>
      <c r="Q82" s="79"/>
      <c r="R82" s="64">
        <f t="array" ref="R82">IF(Q82="",0,IF(COUNTIF(G:G,Q82)&gt;=1,LARGE(IF($G:$G=Q82,$AI:$AI),1),0))</f>
        <v>0</v>
      </c>
      <c r="S82" s="64">
        <f t="array" ref="S82">IF(Q82="",0,IF(COUNTIF(G:G,Q82)&gt;=2,LARGE(IF($G:$G=Q82,$AI:$AI),2),0))</f>
        <v>0</v>
      </c>
      <c r="T82" s="64">
        <f t="array" ref="T82">IF(Q82="",0,IF(COUNTIF(G:G,Q82)&gt;=3,LARGE(IF($G:$G=Q82,$AI:$AI),3),0))</f>
        <v>0</v>
      </c>
      <c r="U82" s="64">
        <f t="shared" si="16"/>
        <v>0</v>
      </c>
      <c r="V82">
        <v>76</v>
      </c>
      <c r="X82" s="9" t="str">
        <f>VLOOKUP(C82,'Round 1'!$D:$G,4,FALSE)</f>
        <v/>
      </c>
      <c r="Y82" s="1" t="str">
        <f>IF(COUNTIF('Round 2'!$D:$D,C82)=1,VLOOKUP(C82,'Round 2'!$D:$G,4,FALSE),"")</f>
        <v/>
      </c>
      <c r="Z82" s="1" t="str">
        <f>IF(COUNTIF('Round 3'!$D:$D,C82)=1,VLOOKUP(C82,'Round 3'!$D:$G,4,FALSE),"")</f>
        <v/>
      </c>
      <c r="AA82" s="10" t="str">
        <f>IF(COUNTIF('Round 4'!$D:$D,C82)=1,VLOOKUP(C82,'Round 4'!$D:$G,4,FALSE),"")</f>
        <v/>
      </c>
      <c r="AC82">
        <f>G4</f>
        <v>5</v>
      </c>
      <c r="AD82" s="9" t="str">
        <f>IF(C82="","",IF(COUNTIF('Round 1'!$D:$D,C82)=1,IF(VLOOKUP(C82,'Round 1'!$D:$Q,14,FALSE)="",0,IF(AC82&gt;=1,(VLOOKUP(C82,'Round 1'!$D:$Q,14,FALSE)*10000)+VLOOKUP(C82,'Round 1'!$D:$K,8,FALSE),0)),0))</f>
        <v/>
      </c>
      <c r="AE82" s="1" t="str">
        <f>IF(C82="","",IF(COUNTIF('Round 2'!$D:$D,C82)=1,IF(VLOOKUP(C82,'Round 2'!$D:$Q,14,FALSE)="",0,IF(AC82&gt;=2,(VLOOKUP(C82,'Round 2'!$D:$Q,14,FALSE)*10000)+VLOOKUP(C82,'Round 2'!$D:$K,8,FALSE),0)),0))</f>
        <v/>
      </c>
      <c r="AF82" s="1" t="str">
        <f>IF(C82="","",IF(COUNTIF('Round 3'!$D:$D,C82)=1,IF(VLOOKUP(C82,'Round 3'!$D:$Q,14,FALSE)="",0,IF(AC82&gt;=3,(VLOOKUP(C82,'Round 3'!$D:$Q,14,FALSE)*10000)+VLOOKUP(C82,'Round 3'!$D:$K,8,FALSE),0)),0))</f>
        <v/>
      </c>
      <c r="AG82" s="1" t="str">
        <f>IF(C82="","",IF(COUNTIF('Round 4'!$D:$D,C82)=1,IF(VLOOKUP(C82,'Round 4'!$D:$Q,14,FALSE)="",0,IF(AC82&gt;=4,(VLOOKUP(C82,'Round 4'!$D:$Q,14,FALSE)*10000)+VLOOKUP(C82,'Round 4'!$D:$K,8,FALSE),0)),0))</f>
        <v/>
      </c>
      <c r="AH82" s="30" t="str">
        <f>IF(C82="","",IF(COUNTIF('Round 5'!$D:$D,C82)=1,IF(VLOOKUP(C82,'Round 5'!$D:$Q,14,FALSE)="",0,IF(AC82&gt;=5,(VLOOKUP(C82,'Round 5'!$D:$Q,14,FALSE)*10000)+VLOOKUP(C82,'Round 5'!$D:$K,8,FALSE),0)),0))</f>
        <v/>
      </c>
      <c r="AI82" s="58" t="str">
        <f t="shared" si="11"/>
        <v/>
      </c>
      <c r="AJ82" s="59" t="str">
        <f t="shared" si="12"/>
        <v/>
      </c>
    </row>
    <row r="83" spans="2:36" ht="15" thickBot="1" x14ac:dyDescent="0.35">
      <c r="B83" s="54" t="str">
        <f t="shared" si="13"/>
        <v/>
      </c>
      <c r="C83" s="9" t="str">
        <f t="shared" si="10"/>
        <v/>
      </c>
      <c r="D83" s="70"/>
      <c r="E83" s="71"/>
      <c r="F83" s="70"/>
      <c r="G83" s="72"/>
      <c r="H83" s="73"/>
      <c r="I83" s="64">
        <f t="array" ref="I83">IF(H83&lt;&gt;"UCM",0,IF(AI83=LARGE(IF($H:$H="UCM",$AI:$AI,""),1),1,0))</f>
        <v>0</v>
      </c>
      <c r="J83" s="64">
        <f t="array" ref="J83">IF(H83&lt;&gt;"Scourge",0,IF(AI83=LARGE(IF($H:$H="Scourge",$AI:$AI,""),1),1,0))</f>
        <v>0</v>
      </c>
      <c r="K83" s="64">
        <f t="array" ref="K83">IF(H83&lt;&gt;"PHR",0,IF(AI83=LARGE(IF($H:$H="PHR",$AI:$AI,""),1),1,0))</f>
        <v>0</v>
      </c>
      <c r="L83" s="64">
        <f t="array" ref="L83">IF(H83&lt;&gt;"Shaltari",0,IF(AI83=LARGE(IF($H:$H="Shaltari",$AI:$AI,""),1),1,0))</f>
        <v>0</v>
      </c>
      <c r="M83" s="64">
        <f t="array" ref="M83">IF(H83&lt;&gt;"Resistance",0,IF(AI83=LARGE(IF($H:$H="Resistance",$AI:$AI,""),1),1,0))</f>
        <v>0</v>
      </c>
      <c r="N83" s="64">
        <f t="shared" si="14"/>
        <v>0</v>
      </c>
      <c r="O83" s="35"/>
      <c r="P83" s="64" t="str">
        <f t="shared" si="15"/>
        <v/>
      </c>
      <c r="Q83" s="79"/>
      <c r="R83" s="64">
        <f t="array" ref="R83">IF(Q83="",0,IF(COUNTIF(G:G,Q83)&gt;=1,LARGE(IF($G:$G=Q83,$AI:$AI),1),0))</f>
        <v>0</v>
      </c>
      <c r="S83" s="64">
        <f t="array" ref="S83">IF(Q83="",0,IF(COUNTIF(G:G,Q83)&gt;=2,LARGE(IF($G:$G=Q83,$AI:$AI),2),0))</f>
        <v>0</v>
      </c>
      <c r="T83" s="64">
        <f t="array" ref="T83">IF(Q83="",0,IF(COUNTIF(G:G,Q83)&gt;=3,LARGE(IF($G:$G=Q83,$AI:$AI),3),0))</f>
        <v>0</v>
      </c>
      <c r="U83" s="64">
        <f t="shared" si="16"/>
        <v>0</v>
      </c>
      <c r="V83">
        <v>77</v>
      </c>
      <c r="X83" s="9" t="str">
        <f>VLOOKUP(C83,'Round 1'!$D:$G,4,FALSE)</f>
        <v/>
      </c>
      <c r="Y83" s="1" t="str">
        <f>IF(COUNTIF('Round 2'!$D:$D,C83)=1,VLOOKUP(C83,'Round 2'!$D:$G,4,FALSE),"")</f>
        <v/>
      </c>
      <c r="Z83" s="1" t="str">
        <f>IF(COUNTIF('Round 3'!$D:$D,C83)=1,VLOOKUP(C83,'Round 3'!$D:$G,4,FALSE),"")</f>
        <v/>
      </c>
      <c r="AA83" s="10" t="str">
        <f>IF(COUNTIF('Round 4'!$D:$D,C83)=1,VLOOKUP(C83,'Round 4'!$D:$G,4,FALSE),"")</f>
        <v/>
      </c>
      <c r="AC83">
        <f>G4</f>
        <v>5</v>
      </c>
      <c r="AD83" s="9" t="str">
        <f>IF(C83="","",IF(COUNTIF('Round 1'!$D:$D,C83)=1,IF(VLOOKUP(C83,'Round 1'!$D:$Q,14,FALSE)="",0,IF(AC83&gt;=1,(VLOOKUP(C83,'Round 1'!$D:$Q,14,FALSE)*10000)+VLOOKUP(C83,'Round 1'!$D:$K,8,FALSE),0)),0))</f>
        <v/>
      </c>
      <c r="AE83" s="1" t="str">
        <f>IF(C83="","",IF(COUNTIF('Round 2'!$D:$D,C83)=1,IF(VLOOKUP(C83,'Round 2'!$D:$Q,14,FALSE)="",0,IF(AC83&gt;=2,(VLOOKUP(C83,'Round 2'!$D:$Q,14,FALSE)*10000)+VLOOKUP(C83,'Round 2'!$D:$K,8,FALSE),0)),0))</f>
        <v/>
      </c>
      <c r="AF83" s="1" t="str">
        <f>IF(C83="","",IF(COUNTIF('Round 3'!$D:$D,C83)=1,IF(VLOOKUP(C83,'Round 3'!$D:$Q,14,FALSE)="",0,IF(AC83&gt;=3,(VLOOKUP(C83,'Round 3'!$D:$Q,14,FALSE)*10000)+VLOOKUP(C83,'Round 3'!$D:$K,8,FALSE),0)),0))</f>
        <v/>
      </c>
      <c r="AG83" s="1" t="str">
        <f>IF(C83="","",IF(COUNTIF('Round 4'!$D:$D,C83)=1,IF(VLOOKUP(C83,'Round 4'!$D:$Q,14,FALSE)="",0,IF(AC83&gt;=4,(VLOOKUP(C83,'Round 4'!$D:$Q,14,FALSE)*10000)+VLOOKUP(C83,'Round 4'!$D:$K,8,FALSE),0)),0))</f>
        <v/>
      </c>
      <c r="AH83" s="30" t="str">
        <f>IF(C83="","",IF(COUNTIF('Round 5'!$D:$D,C83)=1,IF(VLOOKUP(C83,'Round 5'!$D:$Q,14,FALSE)="",0,IF(AC83&gt;=5,(VLOOKUP(C83,'Round 5'!$D:$Q,14,FALSE)*10000)+VLOOKUP(C83,'Round 5'!$D:$K,8,FALSE),0)),0))</f>
        <v/>
      </c>
      <c r="AI83" s="58" t="str">
        <f t="shared" si="11"/>
        <v/>
      </c>
      <c r="AJ83" s="59" t="str">
        <f t="shared" si="12"/>
        <v/>
      </c>
    </row>
    <row r="84" spans="2:36" ht="15" thickBot="1" x14ac:dyDescent="0.35">
      <c r="B84" s="54" t="str">
        <f t="shared" si="13"/>
        <v/>
      </c>
      <c r="C84" s="9" t="str">
        <f t="shared" si="10"/>
        <v/>
      </c>
      <c r="D84" s="70"/>
      <c r="E84" s="71"/>
      <c r="F84" s="70"/>
      <c r="G84" s="72"/>
      <c r="H84" s="73"/>
      <c r="I84" s="64">
        <f t="array" ref="I84">IF(H84&lt;&gt;"UCM",0,IF(AI84=LARGE(IF($H:$H="UCM",$AI:$AI,""),1),1,0))</f>
        <v>0</v>
      </c>
      <c r="J84" s="64">
        <f t="array" ref="J84">IF(H84&lt;&gt;"Scourge",0,IF(AI84=LARGE(IF($H:$H="Scourge",$AI:$AI,""),1),1,0))</f>
        <v>0</v>
      </c>
      <c r="K84" s="64">
        <f t="array" ref="K84">IF(H84&lt;&gt;"PHR",0,IF(AI84=LARGE(IF($H:$H="PHR",$AI:$AI,""),1),1,0))</f>
        <v>0</v>
      </c>
      <c r="L84" s="64">
        <f t="array" ref="L84">IF(H84&lt;&gt;"Shaltari",0,IF(AI84=LARGE(IF($H:$H="Shaltari",$AI:$AI,""),1),1,0))</f>
        <v>0</v>
      </c>
      <c r="M84" s="64">
        <f t="array" ref="M84">IF(H84&lt;&gt;"Resistance",0,IF(AI84=LARGE(IF($H:$H="Resistance",$AI:$AI,""),1),1,0))</f>
        <v>0</v>
      </c>
      <c r="N84" s="64">
        <f t="shared" si="14"/>
        <v>0</v>
      </c>
      <c r="O84" s="35"/>
      <c r="P84" s="64" t="str">
        <f t="shared" si="15"/>
        <v/>
      </c>
      <c r="Q84" s="79"/>
      <c r="R84" s="64">
        <f t="array" ref="R84">IF(Q84="",0,IF(COUNTIF(G:G,Q84)&gt;=1,LARGE(IF($G:$G=Q84,$AI:$AI),1),0))</f>
        <v>0</v>
      </c>
      <c r="S84" s="64">
        <f t="array" ref="S84">IF(Q84="",0,IF(COUNTIF(G:G,Q84)&gt;=2,LARGE(IF($G:$G=Q84,$AI:$AI),2),0))</f>
        <v>0</v>
      </c>
      <c r="T84" s="64">
        <f t="array" ref="T84">IF(Q84="",0,IF(COUNTIF(G:G,Q84)&gt;=3,LARGE(IF($G:$G=Q84,$AI:$AI),3),0))</f>
        <v>0</v>
      </c>
      <c r="U84" s="64">
        <f t="shared" si="16"/>
        <v>0</v>
      </c>
      <c r="V84">
        <v>78</v>
      </c>
      <c r="X84" s="9" t="str">
        <f>VLOOKUP(C84,'Round 1'!$D:$G,4,FALSE)</f>
        <v/>
      </c>
      <c r="Y84" s="1" t="str">
        <f>IF(COUNTIF('Round 2'!$D:$D,C84)=1,VLOOKUP(C84,'Round 2'!$D:$G,4,FALSE),"")</f>
        <v/>
      </c>
      <c r="Z84" s="1" t="str">
        <f>IF(COUNTIF('Round 3'!$D:$D,C84)=1,VLOOKUP(C84,'Round 3'!$D:$G,4,FALSE),"")</f>
        <v/>
      </c>
      <c r="AA84" s="10" t="str">
        <f>IF(COUNTIF('Round 4'!$D:$D,C84)=1,VLOOKUP(C84,'Round 4'!$D:$G,4,FALSE),"")</f>
        <v/>
      </c>
      <c r="AC84">
        <f>G4</f>
        <v>5</v>
      </c>
      <c r="AD84" s="9" t="str">
        <f>IF(C84="","",IF(COUNTIF('Round 1'!$D:$D,C84)=1,IF(VLOOKUP(C84,'Round 1'!$D:$Q,14,FALSE)="",0,IF(AC84&gt;=1,(VLOOKUP(C84,'Round 1'!$D:$Q,14,FALSE)*10000)+VLOOKUP(C84,'Round 1'!$D:$K,8,FALSE),0)),0))</f>
        <v/>
      </c>
      <c r="AE84" s="1" t="str">
        <f>IF(C84="","",IF(COUNTIF('Round 2'!$D:$D,C84)=1,IF(VLOOKUP(C84,'Round 2'!$D:$Q,14,FALSE)="",0,IF(AC84&gt;=2,(VLOOKUP(C84,'Round 2'!$D:$Q,14,FALSE)*10000)+VLOOKUP(C84,'Round 2'!$D:$K,8,FALSE),0)),0))</f>
        <v/>
      </c>
      <c r="AF84" s="1" t="str">
        <f>IF(C84="","",IF(COUNTIF('Round 3'!$D:$D,C84)=1,IF(VLOOKUP(C84,'Round 3'!$D:$Q,14,FALSE)="",0,IF(AC84&gt;=3,(VLOOKUP(C84,'Round 3'!$D:$Q,14,FALSE)*10000)+VLOOKUP(C84,'Round 3'!$D:$K,8,FALSE),0)),0))</f>
        <v/>
      </c>
      <c r="AG84" s="1" t="str">
        <f>IF(C84="","",IF(COUNTIF('Round 4'!$D:$D,C84)=1,IF(VLOOKUP(C84,'Round 4'!$D:$Q,14,FALSE)="",0,IF(AC84&gt;=4,(VLOOKUP(C84,'Round 4'!$D:$Q,14,FALSE)*10000)+VLOOKUP(C84,'Round 4'!$D:$K,8,FALSE),0)),0))</f>
        <v/>
      </c>
      <c r="AH84" s="30" t="str">
        <f>IF(C84="","",IF(COUNTIF('Round 5'!$D:$D,C84)=1,IF(VLOOKUP(C84,'Round 5'!$D:$Q,14,FALSE)="",0,IF(AC84&gt;=5,(VLOOKUP(C84,'Round 5'!$D:$Q,14,FALSE)*10000)+VLOOKUP(C84,'Round 5'!$D:$K,8,FALSE),0)),0))</f>
        <v/>
      </c>
      <c r="AI84" s="58" t="str">
        <f t="shared" si="11"/>
        <v/>
      </c>
      <c r="AJ84" s="59" t="str">
        <f t="shared" si="12"/>
        <v/>
      </c>
    </row>
    <row r="85" spans="2:36" ht="15" thickBot="1" x14ac:dyDescent="0.35">
      <c r="B85" s="54" t="str">
        <f t="shared" si="13"/>
        <v/>
      </c>
      <c r="C85" s="9" t="str">
        <f t="shared" si="10"/>
        <v/>
      </c>
      <c r="D85" s="70"/>
      <c r="E85" s="71"/>
      <c r="F85" s="70"/>
      <c r="G85" s="72"/>
      <c r="H85" s="73"/>
      <c r="I85" s="64">
        <f t="array" ref="I85">IF(H85&lt;&gt;"UCM",0,IF(AI85=LARGE(IF($H:$H="UCM",$AI:$AI,""),1),1,0))</f>
        <v>0</v>
      </c>
      <c r="J85" s="64">
        <f t="array" ref="J85">IF(H85&lt;&gt;"Scourge",0,IF(AI85=LARGE(IF($H:$H="Scourge",$AI:$AI,""),1),1,0))</f>
        <v>0</v>
      </c>
      <c r="K85" s="64">
        <f t="array" ref="K85">IF(H85&lt;&gt;"PHR",0,IF(AI85=LARGE(IF($H:$H="PHR",$AI:$AI,""),1),1,0))</f>
        <v>0</v>
      </c>
      <c r="L85" s="64">
        <f t="array" ref="L85">IF(H85&lt;&gt;"Shaltari",0,IF(AI85=LARGE(IF($H:$H="Shaltari",$AI:$AI,""),1),1,0))</f>
        <v>0</v>
      </c>
      <c r="M85" s="64">
        <f t="array" ref="M85">IF(H85&lt;&gt;"Resistance",0,IF(AI85=LARGE(IF($H:$H="Resistance",$AI:$AI,""),1),1,0))</f>
        <v>0</v>
      </c>
      <c r="N85" s="64">
        <f t="shared" si="14"/>
        <v>0</v>
      </c>
      <c r="O85" s="35"/>
      <c r="P85" s="64" t="str">
        <f t="shared" si="15"/>
        <v/>
      </c>
      <c r="Q85" s="79"/>
      <c r="R85" s="64">
        <f t="array" ref="R85">IF(Q85="",0,IF(COUNTIF(G:G,Q85)&gt;=1,LARGE(IF($G:$G=Q85,$AI:$AI),1),0))</f>
        <v>0</v>
      </c>
      <c r="S85" s="64">
        <f t="array" ref="S85">IF(Q85="",0,IF(COUNTIF(G:G,Q85)&gt;=2,LARGE(IF($G:$G=Q85,$AI:$AI),2),0))</f>
        <v>0</v>
      </c>
      <c r="T85" s="64">
        <f t="array" ref="T85">IF(Q85="",0,IF(COUNTIF(G:G,Q85)&gt;=3,LARGE(IF($G:$G=Q85,$AI:$AI),3),0))</f>
        <v>0</v>
      </c>
      <c r="U85" s="64">
        <f t="shared" si="16"/>
        <v>0</v>
      </c>
      <c r="V85">
        <v>79</v>
      </c>
      <c r="X85" s="9" t="str">
        <f>VLOOKUP(C85,'Round 1'!$D:$G,4,FALSE)</f>
        <v/>
      </c>
      <c r="Y85" s="1" t="str">
        <f>IF(COUNTIF('Round 2'!$D:$D,C85)=1,VLOOKUP(C85,'Round 2'!$D:$G,4,FALSE),"")</f>
        <v/>
      </c>
      <c r="Z85" s="1" t="str">
        <f>IF(COUNTIF('Round 3'!$D:$D,C85)=1,VLOOKUP(C85,'Round 3'!$D:$G,4,FALSE),"")</f>
        <v/>
      </c>
      <c r="AA85" s="10" t="str">
        <f>IF(COUNTIF('Round 4'!$D:$D,C85)=1,VLOOKUP(C85,'Round 4'!$D:$G,4,FALSE),"")</f>
        <v/>
      </c>
      <c r="AC85">
        <f>G4</f>
        <v>5</v>
      </c>
      <c r="AD85" s="9" t="str">
        <f>IF(C85="","",IF(COUNTIF('Round 1'!$D:$D,C85)=1,IF(VLOOKUP(C85,'Round 1'!$D:$Q,14,FALSE)="",0,IF(AC85&gt;=1,(VLOOKUP(C85,'Round 1'!$D:$Q,14,FALSE)*10000)+VLOOKUP(C85,'Round 1'!$D:$K,8,FALSE),0)),0))</f>
        <v/>
      </c>
      <c r="AE85" s="1" t="str">
        <f>IF(C85="","",IF(COUNTIF('Round 2'!$D:$D,C85)=1,IF(VLOOKUP(C85,'Round 2'!$D:$Q,14,FALSE)="",0,IF(AC85&gt;=2,(VLOOKUP(C85,'Round 2'!$D:$Q,14,FALSE)*10000)+VLOOKUP(C85,'Round 2'!$D:$K,8,FALSE),0)),0))</f>
        <v/>
      </c>
      <c r="AF85" s="1" t="str">
        <f>IF(C85="","",IF(COUNTIF('Round 3'!$D:$D,C85)=1,IF(VLOOKUP(C85,'Round 3'!$D:$Q,14,FALSE)="",0,IF(AC85&gt;=3,(VLOOKUP(C85,'Round 3'!$D:$Q,14,FALSE)*10000)+VLOOKUP(C85,'Round 3'!$D:$K,8,FALSE),0)),0))</f>
        <v/>
      </c>
      <c r="AG85" s="1" t="str">
        <f>IF(C85="","",IF(COUNTIF('Round 4'!$D:$D,C85)=1,IF(VLOOKUP(C85,'Round 4'!$D:$Q,14,FALSE)="",0,IF(AC85&gt;=4,(VLOOKUP(C85,'Round 4'!$D:$Q,14,FALSE)*10000)+VLOOKUP(C85,'Round 4'!$D:$K,8,FALSE),0)),0))</f>
        <v/>
      </c>
      <c r="AH85" s="30" t="str">
        <f>IF(C85="","",IF(COUNTIF('Round 5'!$D:$D,C85)=1,IF(VLOOKUP(C85,'Round 5'!$D:$Q,14,FALSE)="",0,IF(AC85&gt;=5,(VLOOKUP(C85,'Round 5'!$D:$Q,14,FALSE)*10000)+VLOOKUP(C85,'Round 5'!$D:$K,8,FALSE),0)),0))</f>
        <v/>
      </c>
      <c r="AI85" s="58" t="str">
        <f t="shared" si="11"/>
        <v/>
      </c>
      <c r="AJ85" s="59" t="str">
        <f t="shared" si="12"/>
        <v/>
      </c>
    </row>
    <row r="86" spans="2:36" ht="15" thickBot="1" x14ac:dyDescent="0.35">
      <c r="B86" s="54" t="str">
        <f t="shared" si="13"/>
        <v/>
      </c>
      <c r="C86" s="3" t="str">
        <f t="shared" si="10"/>
        <v/>
      </c>
      <c r="D86" s="74"/>
      <c r="E86" s="75"/>
      <c r="F86" s="74"/>
      <c r="G86" s="76"/>
      <c r="H86" s="77"/>
      <c r="I86" s="64">
        <f t="array" ref="I86">IF(H86&lt;&gt;"UCM",0,IF(AI86=LARGE(IF($H:$H="UCM",$AI:$AI,""),1),1,0))</f>
        <v>0</v>
      </c>
      <c r="J86" s="64">
        <f t="array" ref="J86">IF(H86&lt;&gt;"Scourge",0,IF(AI86=LARGE(IF($H:$H="Scourge",$AI:$AI,""),1),1,0))</f>
        <v>0</v>
      </c>
      <c r="K86" s="64">
        <f t="array" ref="K86">IF(H86&lt;&gt;"PHR",0,IF(AI86=LARGE(IF($H:$H="PHR",$AI:$AI,""),1),1,0))</f>
        <v>0</v>
      </c>
      <c r="L86" s="64">
        <f t="array" ref="L86">IF(H86&lt;&gt;"Shaltari",0,IF(AI86=LARGE(IF($H:$H="Shaltari",$AI:$AI,""),1),1,0))</f>
        <v>0</v>
      </c>
      <c r="M86" s="64">
        <f t="array" ref="M86">IF(H86&lt;&gt;"Resistance",0,IF(AI86=LARGE(IF($H:$H="Resistance",$AI:$AI,""),1),1,0))</f>
        <v>0</v>
      </c>
      <c r="N86" s="64">
        <f t="shared" si="14"/>
        <v>0</v>
      </c>
      <c r="O86" s="35"/>
      <c r="P86" s="64" t="str">
        <f t="shared" si="15"/>
        <v/>
      </c>
      <c r="Q86" s="80"/>
      <c r="R86" s="64">
        <f t="array" ref="R86">IF(Q86="",0,IF(COUNTIF(G:G,Q86)&gt;=1,LARGE(IF($G:$G=Q86,$AI:$AI),1),0))</f>
        <v>0</v>
      </c>
      <c r="S86" s="64">
        <f t="array" ref="S86">IF(Q86="",0,IF(COUNTIF(G:G,Q86)&gt;=2,LARGE(IF($G:$G=Q86,$AI:$AI),2),0))</f>
        <v>0</v>
      </c>
      <c r="T86" s="64">
        <f t="array" ref="T86">IF(Q86="",0,IF(COUNTIF(G:G,Q86)&gt;=3,LARGE(IF($G:$G=Q86,$AI:$AI),3),0))</f>
        <v>0</v>
      </c>
      <c r="U86" s="64">
        <f t="shared" si="16"/>
        <v>0</v>
      </c>
      <c r="V86">
        <v>80</v>
      </c>
      <c r="X86" s="3" t="str">
        <f>VLOOKUP(C86,'Round 1'!$D:$G,4,FALSE)</f>
        <v/>
      </c>
      <c r="Y86" s="11" t="str">
        <f>IF(COUNTIF('Round 2'!$D:$D,C86)=1,VLOOKUP(C86,'Round 2'!$D:$G,4,FALSE),"")</f>
        <v/>
      </c>
      <c r="Z86" s="11" t="str">
        <f>IF(COUNTIF('Round 3'!$D:$D,C86)=1,VLOOKUP(C86,'Round 3'!$D:$G,4,FALSE),"")</f>
        <v/>
      </c>
      <c r="AA86" s="13" t="str">
        <f>IF(COUNTIF('Round 4'!$D:$D,C86)=1,VLOOKUP(C86,'Round 4'!$D:$G,4,FALSE),"")</f>
        <v/>
      </c>
      <c r="AC86">
        <f>G4</f>
        <v>5</v>
      </c>
      <c r="AD86" s="3" t="str">
        <f>IF(C86="","",IF(COUNTIF('Round 1'!$D:$D,C86)=1,IF(VLOOKUP(C86,'Round 1'!$D:$Q,14,FALSE)="",0,IF(AC86&gt;=1,(VLOOKUP(C86,'Round 1'!$D:$Q,14,FALSE)*10000)+VLOOKUP(C86,'Round 1'!$D:$K,8,FALSE),0)),0))</f>
        <v/>
      </c>
      <c r="AE86" s="11" t="str">
        <f>IF(C86="","",IF(COUNTIF('Round 2'!$D:$D,C86)=1,IF(VLOOKUP(C86,'Round 2'!$D:$Q,14,FALSE)="",0,IF(AC86&gt;=2,(VLOOKUP(C86,'Round 2'!$D:$Q,14,FALSE)*10000)+VLOOKUP(C86,'Round 2'!$D:$K,8,FALSE),0)),0))</f>
        <v/>
      </c>
      <c r="AF86" s="11" t="str">
        <f>IF(C86="","",IF(COUNTIF('Round 3'!$D:$D,C86)=1,IF(VLOOKUP(C86,'Round 3'!$D:$Q,14,FALSE)="",0,IF(AC86&gt;=3,(VLOOKUP(C86,'Round 3'!$D:$Q,14,FALSE)*10000)+VLOOKUP(C86,'Round 3'!$D:$K,8,FALSE),0)),0))</f>
        <v/>
      </c>
      <c r="AG86" s="11" t="str">
        <f>IF(C86="","",IF(COUNTIF('Round 4'!$D:$D,C86)=1,IF(VLOOKUP(C86,'Round 4'!$D:$Q,14,FALSE)="",0,IF(AC86&gt;=4,(VLOOKUP(C86,'Round 4'!$D:$Q,14,FALSE)*10000)+VLOOKUP(C86,'Round 4'!$D:$K,8,FALSE),0)),0))</f>
        <v/>
      </c>
      <c r="AH86" s="31" t="str">
        <f>IF(C86="","",IF(COUNTIF('Round 5'!$D:$D,C86)=1,IF(VLOOKUP(C86,'Round 5'!$D:$Q,14,FALSE)="",0,IF(AC86&gt;=5,(VLOOKUP(C86,'Round 5'!$D:$Q,14,FALSE)*10000)+VLOOKUP(C86,'Round 5'!$D:$K,8,FALSE),0)),0))</f>
        <v/>
      </c>
      <c r="AI86" s="60" t="str">
        <f t="shared" si="11"/>
        <v/>
      </c>
      <c r="AJ86" s="61" t="str">
        <f t="shared" si="12"/>
        <v/>
      </c>
    </row>
  </sheetData>
  <sheetProtection algorithmName="SHA-512" hashValue="6/eVUt5HJoiUxJvBpok+KelPybviI3hfmdi+qQrZD48e07ebrl8pU2oAAwqB1o7otO3GWbVw8pZRCIat2N7u+A==" saltValue="0zmp5pJXMjsdeTVB/Ei+Og==" spinCount="100000" sheet="1" selectLockedCells="1"/>
  <mergeCells count="6">
    <mergeCell ref="X4:AA5"/>
    <mergeCell ref="AD4:AJ5"/>
    <mergeCell ref="C2:D2"/>
    <mergeCell ref="C4:D4"/>
    <mergeCell ref="G4:H4"/>
    <mergeCell ref="G2:H2"/>
  </mergeCells>
  <dataValidations count="1">
    <dataValidation type="list" allowBlank="1" showInputMessage="1" showErrorMessage="1" sqref="G7:G86" xr:uid="{00000000-0002-0000-0100-000000000000}">
      <formula1>TeamIndex</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'Drop Downs'!$D$3:$D$7</xm:f>
          </x14:formula1>
          <xm:sqref>G4:N4</xm:sqref>
        </x14:dataValidation>
        <x14:dataValidation type="list" allowBlank="1" showInputMessage="1" showErrorMessage="1" xr:uid="{00000000-0002-0000-0100-000002000000}">
          <x14:formula1>
            <xm:f>'Drop Downs'!$F$3:$F$6</xm:f>
          </x14:formula1>
          <xm:sqref>G2:N2</xm:sqref>
        </x14:dataValidation>
        <x14:dataValidation type="list" allowBlank="1" showInputMessage="1" showErrorMessage="1" xr:uid="{00000000-0002-0000-0100-000003000000}">
          <x14:formula1>
            <xm:f>'Drop Downs'!$B$3:$B$8</xm:f>
          </x14:formula1>
          <xm:sqref>O7:O86</xm:sqref>
        </x14:dataValidation>
        <x14:dataValidation type="list" allowBlank="1" showInputMessage="1" showErrorMessage="1" xr:uid="{00000000-0002-0000-0100-000004000000}">
          <x14:formula1>
            <xm:f>'Drop Downs'!$B$3:$B$7</xm:f>
          </x14:formula1>
          <xm:sqref>H7:H86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AA82"/>
  <sheetViews>
    <sheetView showGridLines="0" showRowColHeaders="0" zoomScaleNormal="100" workbookViewId="0">
      <pane ySplit="2" topLeftCell="A3" activePane="bottomLeft" state="frozen"/>
      <selection activeCell="I16" sqref="I16"/>
      <selection pane="bottomLeft" activeCell="K3" sqref="K3"/>
    </sheetView>
  </sheetViews>
  <sheetFormatPr defaultRowHeight="14.4" x14ac:dyDescent="0.3"/>
  <cols>
    <col min="1" max="1" width="12.44140625" bestFit="1" customWidth="1"/>
    <col min="2" max="3" width="12.44140625" hidden="1" customWidth="1"/>
    <col min="5" max="6" width="12.44140625" hidden="1" customWidth="1"/>
    <col min="7" max="7" width="11" hidden="1" customWidth="1"/>
    <col min="8" max="8" width="23.109375" customWidth="1"/>
    <col min="9" max="9" width="52.33203125" customWidth="1"/>
    <col min="10" max="10" width="8.88671875" hidden="1" customWidth="1"/>
    <col min="12" max="15" width="8.88671875" hidden="1" customWidth="1"/>
    <col min="16" max="16" width="8.88671875" customWidth="1"/>
    <col min="17" max="17" width="8.88671875" hidden="1" customWidth="1"/>
    <col min="18" max="19" width="4.33203125" hidden="1" customWidth="1"/>
    <col min="20" max="20" width="4.33203125" customWidth="1"/>
    <col min="21" max="24" width="4.33203125" hidden="1" customWidth="1"/>
    <col min="25" max="25" width="17.77734375" customWidth="1"/>
    <col min="26" max="26" width="1.6640625" customWidth="1"/>
    <col min="27" max="27" width="66.5546875" customWidth="1"/>
  </cols>
  <sheetData>
    <row r="1" spans="1:27" ht="24" thickBot="1" x14ac:dyDescent="0.5">
      <c r="A1" s="232" t="s">
        <v>6</v>
      </c>
      <c r="B1" s="233"/>
      <c r="C1" s="233"/>
      <c r="D1" s="233"/>
      <c r="E1" s="233"/>
      <c r="F1" s="233"/>
      <c r="G1" s="233"/>
      <c r="H1" s="234"/>
      <c r="I1" s="233"/>
      <c r="J1" s="233"/>
      <c r="K1" s="233"/>
      <c r="L1" s="233"/>
      <c r="M1" s="233"/>
      <c r="N1" s="233"/>
      <c r="O1" s="233"/>
      <c r="P1" s="233"/>
      <c r="Q1" s="235"/>
      <c r="R1" s="133"/>
      <c r="S1" s="133"/>
      <c r="Y1" s="226" t="s">
        <v>115</v>
      </c>
      <c r="Z1" s="227"/>
      <c r="AA1" s="228"/>
    </row>
    <row r="2" spans="1:27" ht="15" thickBot="1" x14ac:dyDescent="0.35">
      <c r="A2" s="5" t="s">
        <v>0</v>
      </c>
      <c r="B2" s="33" t="s">
        <v>21</v>
      </c>
      <c r="C2" s="33" t="s">
        <v>29</v>
      </c>
      <c r="D2" s="32" t="s">
        <v>1</v>
      </c>
      <c r="E2" s="33" t="s">
        <v>27</v>
      </c>
      <c r="F2" s="38" t="s">
        <v>28</v>
      </c>
      <c r="G2" s="38" t="s">
        <v>25</v>
      </c>
      <c r="H2" s="32" t="s">
        <v>26</v>
      </c>
      <c r="I2" s="14" t="s">
        <v>2</v>
      </c>
      <c r="J2" s="16" t="s">
        <v>4</v>
      </c>
      <c r="K2" s="4" t="s">
        <v>3</v>
      </c>
      <c r="L2" s="22" t="s">
        <v>17</v>
      </c>
      <c r="M2" s="22" t="s">
        <v>19</v>
      </c>
      <c r="N2" s="22" t="s">
        <v>16</v>
      </c>
      <c r="O2" s="22" t="s">
        <v>18</v>
      </c>
      <c r="P2" s="4" t="s">
        <v>4</v>
      </c>
      <c r="Q2" s="182" t="s">
        <v>120</v>
      </c>
      <c r="R2" s="134"/>
      <c r="S2" s="134"/>
      <c r="Y2" s="229"/>
      <c r="Z2" s="230"/>
      <c r="AA2" s="231"/>
    </row>
    <row r="3" spans="1:27" ht="15" customHeight="1" thickBot="1" x14ac:dyDescent="0.35">
      <c r="A3" s="225" t="str">
        <f>IF('Tournament Details'!A1&gt;=1,IF(LARGE('Tournament Details'!C7:C86,1)&gt;=2,1,""),"")</f>
        <v/>
      </c>
      <c r="B3" s="42">
        <f>IF(Q3="","",(Q3*10000)+K3)</f>
        <v>0</v>
      </c>
      <c r="C3" s="139" t="str">
        <f>IF(D3="","",IF(COUNTIF(E:E,E3)=1,RANK(E3,E:E),RANK(F3,F:F)))</f>
        <v/>
      </c>
      <c r="D3" s="140" t="str">
        <f>'Tournament Details'!C7</f>
        <v/>
      </c>
      <c r="E3" s="44" t="str">
        <f>IF(D3="","",B3)</f>
        <v/>
      </c>
      <c r="F3" s="44" t="str">
        <f>IF(D3="","",(LARGE(D:D,1)+1-D3)+E3)</f>
        <v/>
      </c>
      <c r="G3" s="23" t="str">
        <f>D4</f>
        <v/>
      </c>
      <c r="H3" s="25" t="str">
        <f>IF(D3="","",IF(VLOOKUP(D3,'Tournament Details'!$C:$G,5,FALSE)="",D3,VLOOKUP(D3,'Tournament Details'!$C:$G,5,FALSE)))</f>
        <v/>
      </c>
      <c r="I3" s="7" t="str">
        <f>IF(D3=0,"",IF(VLOOKUP(D3,'Tournament Details'!$C:$E,3,FALSE)&gt;0,VLOOKUP(D3,'Tournament Details'!$C:$E,3,FALSE),""))</f>
        <v/>
      </c>
      <c r="J3" s="121"/>
      <c r="K3" s="121"/>
      <c r="L3" s="23"/>
      <c r="M3" s="23"/>
      <c r="N3" s="23"/>
      <c r="O3" s="23"/>
      <c r="P3" s="184">
        <v>0</v>
      </c>
      <c r="Q3" s="183">
        <f t="shared" ref="Q3:Q34" si="0">IF(P3="",0,P3)</f>
        <v>0</v>
      </c>
      <c r="R3" s="135" t="str">
        <f t="shared" ref="R3:R34" si="1">IF(J3="","",IF(J3&gt;16,"!",IF(J3&lt;4,"!","")))</f>
        <v/>
      </c>
      <c r="S3" s="135" t="str">
        <f>IF(Q3="","",IF(Q3+VLOOKUP(G3,D:Q,14,FALSE)&lt;&gt;20,IF(Q3+VLOOKUP(G3,D:Q,14,FALSE)&lt;&gt;0,"!",""),""))</f>
        <v/>
      </c>
      <c r="T3" s="21" t="str">
        <f t="shared" ref="T3:T34" si="2">IF(R3="!","!",IF(S3="!","!",""))</f>
        <v/>
      </c>
      <c r="U3" s="132">
        <f>IF(D3="",0,VLOOKUP(D3,'Tournament Details'!$C:$X,22,FALSE))</f>
        <v>0</v>
      </c>
      <c r="V3" s="132">
        <f>IF(D3="",0,VLOOKUP(D3,'Tournament Details'!$C:$Y,23,FALSE))</f>
        <v>0</v>
      </c>
      <c r="W3" s="132">
        <f>IF(D3="",0,VLOOKUP(D3,'Tournament Details'!$C:$Z,24,FALSE))</f>
        <v>0</v>
      </c>
      <c r="X3" s="132">
        <f>IF(D3="",0,VLOOKUP(D3,'Tournament Details'!$C:$AA,25,FALSE))</f>
        <v>0</v>
      </c>
      <c r="Y3" s="40" t="str">
        <f>IF(D3="","",IF(COUNTIF(D:D,D3)&gt;1,"DUPLICATE PLAYER",IF(D4="","NO OPPONENT",IF(H3=H4,"SAME TEAM",""))))</f>
        <v/>
      </c>
    </row>
    <row r="4" spans="1:27" ht="15" customHeight="1" thickBot="1" x14ac:dyDescent="0.35">
      <c r="A4" s="224"/>
      <c r="B4" s="43">
        <f t="shared" ref="B4:B67" si="3">IF(Q4="","",(Q4*10000)+K4)</f>
        <v>0</v>
      </c>
      <c r="C4" s="139" t="str">
        <f t="shared" ref="C4:C67" si="4">IF(D4="","",IF(COUNTIF(E:E,E4)=1,RANK(E4,E:E),RANK(F4,F:F)))</f>
        <v/>
      </c>
      <c r="D4" s="141" t="str">
        <f>'Tournament Details'!C8</f>
        <v/>
      </c>
      <c r="E4" s="142" t="str">
        <f t="shared" ref="E4:E67" si="5">IF(D4="","",B4)</f>
        <v/>
      </c>
      <c r="F4" s="142" t="str">
        <f t="shared" ref="F4:F67" si="6">IF(D4="","",(LARGE(D:D,1)+1-D4)+E4)</f>
        <v/>
      </c>
      <c r="G4" s="24" t="str">
        <f>D3</f>
        <v/>
      </c>
      <c r="H4" s="26" t="str">
        <f>IF(D4="","",IF(VLOOKUP(D4,'Tournament Details'!$C:$G,5,FALSE)="",D4,VLOOKUP(D4,'Tournament Details'!$C:$G,5,FALSE)))</f>
        <v/>
      </c>
      <c r="I4" s="12" t="str">
        <f>IF(D4=0,"",IF(VLOOKUP(D4,'Tournament Details'!$C:$E,3,FALSE)&gt;0,VLOOKUP(D4,'Tournament Details'!$C:$E,3,FALSE),""))</f>
        <v/>
      </c>
      <c r="J4" s="122"/>
      <c r="K4" s="122"/>
      <c r="L4" s="23"/>
      <c r="M4" s="24"/>
      <c r="N4" s="24"/>
      <c r="O4" s="24"/>
      <c r="P4" s="185">
        <v>0</v>
      </c>
      <c r="Q4" s="183">
        <f t="shared" si="0"/>
        <v>0</v>
      </c>
      <c r="R4" s="135" t="str">
        <f t="shared" si="1"/>
        <v/>
      </c>
      <c r="S4" s="135" t="str">
        <f>IF(Q4="","",IF(Q4+VLOOKUP(G4,D:Q,14,FALSE)&lt;&gt;20,IF(Q4+VLOOKUP(G4,D:Q,14,FALSE)&lt;&gt;0,"!",""),""))</f>
        <v/>
      </c>
      <c r="T4" s="21" t="str">
        <f t="shared" si="2"/>
        <v/>
      </c>
      <c r="U4" s="132">
        <f>IF(D4="",0,VLOOKUP(D4,'Tournament Details'!$C:$X,22,FALSE))</f>
        <v>0</v>
      </c>
      <c r="V4" s="132">
        <f>IF(D4="",0,VLOOKUP(D4,'Tournament Details'!$C:$Y,23,FALSE))</f>
        <v>0</v>
      </c>
      <c r="W4" s="132">
        <f>IF(D4="",0,VLOOKUP(D4,'Tournament Details'!$C:$Z,24,FALSE))</f>
        <v>0</v>
      </c>
      <c r="X4" s="132">
        <f>IF(D4="",0,VLOOKUP(D4,'Tournament Details'!$C:$AA,25,FALSE))</f>
        <v>0</v>
      </c>
      <c r="Y4" s="40" t="str">
        <f>IF(D4="","",IF(COUNTIF(D:D,D4)&gt;1,"DUPLICATE PLAYER",IF(D3="","NO OPPONENT",IF(H4=H3,"SAME TEAM",""))))</f>
        <v/>
      </c>
    </row>
    <row r="5" spans="1:27" ht="15" customHeight="1" thickBot="1" x14ac:dyDescent="0.35">
      <c r="A5" s="224" t="str">
        <f>IF('Tournament Details'!A1&gt;=1,IF(LARGE('Tournament Details'!C7:C86,1)&gt;=4,2,""),"")</f>
        <v/>
      </c>
      <c r="B5" s="42">
        <f t="shared" si="3"/>
        <v>0</v>
      </c>
      <c r="C5" s="139" t="str">
        <f t="shared" si="4"/>
        <v/>
      </c>
      <c r="D5" s="140" t="str">
        <f>'Tournament Details'!C9</f>
        <v/>
      </c>
      <c r="E5" s="44" t="str">
        <f t="shared" si="5"/>
        <v/>
      </c>
      <c r="F5" s="44" t="str">
        <f t="shared" si="6"/>
        <v/>
      </c>
      <c r="G5" s="23" t="str">
        <f>D6</f>
        <v/>
      </c>
      <c r="H5" s="25" t="str">
        <f>IF(D5="","",IF(VLOOKUP(D5,'Tournament Details'!$C:$G,5,FALSE)="",D5,VLOOKUP(D5,'Tournament Details'!$C:$G,5,FALSE)))</f>
        <v/>
      </c>
      <c r="I5" s="7" t="str">
        <f>IF(D5=0,"",IF(VLOOKUP(D5,'Tournament Details'!$C:$E,3,FALSE)&gt;0,VLOOKUP(D5,'Tournament Details'!$C:$E,3,FALSE),""))</f>
        <v/>
      </c>
      <c r="J5" s="121"/>
      <c r="K5" s="121"/>
      <c r="L5" s="23"/>
      <c r="M5" s="23"/>
      <c r="N5" s="23"/>
      <c r="O5" s="23"/>
      <c r="P5" s="184">
        <v>0</v>
      </c>
      <c r="Q5" s="183">
        <f t="shared" si="0"/>
        <v>0</v>
      </c>
      <c r="R5" s="135" t="str">
        <f t="shared" si="1"/>
        <v/>
      </c>
      <c r="S5" s="135" t="str">
        <f>IF(Q5="","",IF(Q5+Q6&lt;&gt;20,IF(Q5+Q6&lt;&gt;0,"!",""),""))</f>
        <v/>
      </c>
      <c r="T5" s="21" t="str">
        <f t="shared" si="2"/>
        <v/>
      </c>
      <c r="U5" s="132">
        <f>IF(D5="",0,VLOOKUP(D5,'Tournament Details'!$C:$X,22,FALSE))</f>
        <v>0</v>
      </c>
      <c r="V5" s="132">
        <f>IF(D5="",0,VLOOKUP(D5,'Tournament Details'!$C:$Y,23,FALSE))</f>
        <v>0</v>
      </c>
      <c r="W5" s="132">
        <f>IF(D5="",0,VLOOKUP(D5,'Tournament Details'!$C:$Z,24,FALSE))</f>
        <v>0</v>
      </c>
      <c r="X5" s="132">
        <f>IF(D5="",0,VLOOKUP(D5,'Tournament Details'!$C:$AA,25,FALSE))</f>
        <v>0</v>
      </c>
      <c r="Y5" s="40" t="str">
        <f>IF(D5="","",IF(COUNTIF(D:D,D5)&gt;1,"DUPLICATE PLAYER",IF(D6="","NO OPPONENT",IF(H5=H6,"SAME TEAM",""))))</f>
        <v/>
      </c>
    </row>
    <row r="6" spans="1:27" ht="15" customHeight="1" thickBot="1" x14ac:dyDescent="0.35">
      <c r="A6" s="224"/>
      <c r="B6" s="43">
        <f t="shared" si="3"/>
        <v>0</v>
      </c>
      <c r="C6" s="139" t="str">
        <f t="shared" si="4"/>
        <v/>
      </c>
      <c r="D6" s="141" t="str">
        <f>'Tournament Details'!C10</f>
        <v/>
      </c>
      <c r="E6" s="142" t="str">
        <f t="shared" si="5"/>
        <v/>
      </c>
      <c r="F6" s="142" t="str">
        <f t="shared" si="6"/>
        <v/>
      </c>
      <c r="G6" s="24" t="str">
        <f>D5</f>
        <v/>
      </c>
      <c r="H6" s="26" t="str">
        <f>IF(D6="","",IF(VLOOKUP(D6,'Tournament Details'!$C:$G,5,FALSE)="",D6,VLOOKUP(D6,'Tournament Details'!$C:$G,5,FALSE)))</f>
        <v/>
      </c>
      <c r="I6" s="12" t="str">
        <f>IF(D6=0,"",IF(VLOOKUP(D6,'Tournament Details'!$C:$E,3,FALSE)&gt;0,VLOOKUP(D6,'Tournament Details'!$C:$E,3,FALSE),""))</f>
        <v/>
      </c>
      <c r="J6" s="122"/>
      <c r="K6" s="122"/>
      <c r="L6" s="23"/>
      <c r="M6" s="24"/>
      <c r="N6" s="24"/>
      <c r="O6" s="24"/>
      <c r="P6" s="185">
        <v>0</v>
      </c>
      <c r="Q6" s="183">
        <f t="shared" si="0"/>
        <v>0</v>
      </c>
      <c r="R6" s="135" t="str">
        <f t="shared" si="1"/>
        <v/>
      </c>
      <c r="S6" s="135" t="str">
        <f>IF(Q6="","",IF(Q5+Q6&lt;&gt;20,IF(Q5+Q6&lt;&gt;0,"!",""),""))</f>
        <v/>
      </c>
      <c r="T6" s="21" t="str">
        <f t="shared" si="2"/>
        <v/>
      </c>
      <c r="U6" s="132">
        <f>IF(D6="",0,VLOOKUP(D6,'Tournament Details'!$C:$X,22,FALSE))</f>
        <v>0</v>
      </c>
      <c r="V6" s="132">
        <f>IF(D6="",0,VLOOKUP(D6,'Tournament Details'!$C:$Y,23,FALSE))</f>
        <v>0</v>
      </c>
      <c r="W6" s="132">
        <f>IF(D6="",0,VLOOKUP(D6,'Tournament Details'!$C:$Z,24,FALSE))</f>
        <v>0</v>
      </c>
      <c r="X6" s="132">
        <f>IF(D6="",0,VLOOKUP(D6,'Tournament Details'!$C:$AA,25,FALSE))</f>
        <v>0</v>
      </c>
      <c r="Y6" s="40" t="str">
        <f>IF(D6="","",IF(COUNTIF(D:D,D6)&gt;1,"DUPLICATE PLAYER",IF(D5="","NO OPPONENT",IF(H6=H5,"SAME TEAM",""))))</f>
        <v/>
      </c>
    </row>
    <row r="7" spans="1:27" ht="15" customHeight="1" thickBot="1" x14ac:dyDescent="0.35">
      <c r="A7" s="224" t="str">
        <f>IF('Tournament Details'!A1&gt;=1,IF(LARGE('Tournament Details'!C7:C86,1)&gt;=6,3,""),"")</f>
        <v/>
      </c>
      <c r="B7" s="42">
        <f t="shared" si="3"/>
        <v>0</v>
      </c>
      <c r="C7" s="139" t="str">
        <f t="shared" si="4"/>
        <v/>
      </c>
      <c r="D7" s="140" t="str">
        <f>'Tournament Details'!C11</f>
        <v/>
      </c>
      <c r="E7" s="44" t="str">
        <f t="shared" si="5"/>
        <v/>
      </c>
      <c r="F7" s="44" t="str">
        <f t="shared" si="6"/>
        <v/>
      </c>
      <c r="G7" s="23" t="str">
        <f>D8</f>
        <v/>
      </c>
      <c r="H7" s="25" t="str">
        <f>IF(D7="","",IF(VLOOKUP(D7,'Tournament Details'!$C:$G,5,FALSE)="",D7,VLOOKUP(D7,'Tournament Details'!$C:$G,5,FALSE)))</f>
        <v/>
      </c>
      <c r="I7" s="7" t="str">
        <f>IF(D7=0,"",IF(VLOOKUP(D7,'Tournament Details'!$C:$E,3,FALSE)&gt;0,VLOOKUP(D7,'Tournament Details'!$C:$E,3,FALSE),""))</f>
        <v/>
      </c>
      <c r="J7" s="121"/>
      <c r="K7" s="121"/>
      <c r="L7" s="23"/>
      <c r="M7" s="23"/>
      <c r="N7" s="23"/>
      <c r="O7" s="23"/>
      <c r="P7" s="184">
        <v>0</v>
      </c>
      <c r="Q7" s="183">
        <f t="shared" si="0"/>
        <v>0</v>
      </c>
      <c r="R7" s="135" t="str">
        <f t="shared" si="1"/>
        <v/>
      </c>
      <c r="S7" s="135" t="str">
        <f>IF(Q7="","",IF(Q7+Q8&lt;&gt;20,IF(Q7+Q8&lt;&gt;0,"!",""),""))</f>
        <v/>
      </c>
      <c r="T7" s="21" t="str">
        <f t="shared" si="2"/>
        <v/>
      </c>
      <c r="U7" s="132">
        <f>IF(D7="",0,VLOOKUP(D7,'Tournament Details'!$C:$X,22,FALSE))</f>
        <v>0</v>
      </c>
      <c r="V7" s="132">
        <f>IF(D7="",0,VLOOKUP(D7,'Tournament Details'!$C:$Y,23,FALSE))</f>
        <v>0</v>
      </c>
      <c r="W7" s="132">
        <f>IF(D7="",0,VLOOKUP(D7,'Tournament Details'!$C:$Z,24,FALSE))</f>
        <v>0</v>
      </c>
      <c r="X7" s="132">
        <f>IF(D7="",0,VLOOKUP(D7,'Tournament Details'!$C:$AA,25,FALSE))</f>
        <v>0</v>
      </c>
      <c r="Y7" s="40" t="str">
        <f>IF(D7="","",IF(COUNTIF(D:D,D7)&gt;1,"DUPLICATE PLAYER",IF(D8="","NO OPPONENT",IF(H7=H8,"SAME TEAM",""))))</f>
        <v/>
      </c>
    </row>
    <row r="8" spans="1:27" ht="15" customHeight="1" thickBot="1" x14ac:dyDescent="0.35">
      <c r="A8" s="224"/>
      <c r="B8" s="43">
        <f t="shared" si="3"/>
        <v>0</v>
      </c>
      <c r="C8" s="139" t="str">
        <f t="shared" si="4"/>
        <v/>
      </c>
      <c r="D8" s="141" t="str">
        <f>'Tournament Details'!C12</f>
        <v/>
      </c>
      <c r="E8" s="142" t="str">
        <f t="shared" si="5"/>
        <v/>
      </c>
      <c r="F8" s="142" t="str">
        <f t="shared" si="6"/>
        <v/>
      </c>
      <c r="G8" s="24" t="str">
        <f>D7</f>
        <v/>
      </c>
      <c r="H8" s="26" t="str">
        <f>IF(D8="","",IF(VLOOKUP(D8,'Tournament Details'!$C:$G,5,FALSE)="",D8,VLOOKUP(D8,'Tournament Details'!$C:$G,5,FALSE)))</f>
        <v/>
      </c>
      <c r="I8" s="12" t="str">
        <f>IF(D8=0,"",IF(VLOOKUP(D8,'Tournament Details'!$C:$E,3,FALSE)&gt;0,VLOOKUP(D8,'Tournament Details'!$C:$E,3,FALSE),""))</f>
        <v/>
      </c>
      <c r="J8" s="122"/>
      <c r="K8" s="122"/>
      <c r="L8" s="23"/>
      <c r="M8" s="24"/>
      <c r="N8" s="24"/>
      <c r="O8" s="24"/>
      <c r="P8" s="185">
        <v>0</v>
      </c>
      <c r="Q8" s="183">
        <f t="shared" si="0"/>
        <v>0</v>
      </c>
      <c r="R8" s="135" t="str">
        <f t="shared" si="1"/>
        <v/>
      </c>
      <c r="S8" s="135" t="str">
        <f>IF(Q8="","",IF(Q7+Q8&lt;&gt;20,IF(Q7+Q8&lt;&gt;0,"!",""),""))</f>
        <v/>
      </c>
      <c r="T8" s="21" t="str">
        <f t="shared" si="2"/>
        <v/>
      </c>
      <c r="U8" s="132">
        <f>IF(D8="",0,VLOOKUP(D8,'Tournament Details'!$C:$X,22,FALSE))</f>
        <v>0</v>
      </c>
      <c r="V8" s="132">
        <f>IF(D8="",0,VLOOKUP(D8,'Tournament Details'!$C:$Y,23,FALSE))</f>
        <v>0</v>
      </c>
      <c r="W8" s="132">
        <f>IF(D8="",0,VLOOKUP(D8,'Tournament Details'!$C:$Z,24,FALSE))</f>
        <v>0</v>
      </c>
      <c r="X8" s="132">
        <f>IF(D8="",0,VLOOKUP(D8,'Tournament Details'!$C:$AA,25,FALSE))</f>
        <v>0</v>
      </c>
      <c r="Y8" s="40" t="str">
        <f>IF(D8="","",IF(COUNTIF(D:D,D8)&gt;1,"DUPLICATE PLAYER",IF(D7="","NO OPPONENT",IF(H8=H7,"SAME TEAM",""))))</f>
        <v/>
      </c>
    </row>
    <row r="9" spans="1:27" ht="15" customHeight="1" thickBot="1" x14ac:dyDescent="0.35">
      <c r="A9" s="224" t="str">
        <f>IF('Tournament Details'!A1&gt;=1,IF(LARGE('Tournament Details'!C7:C86,1)&gt;=8,4,""),"")</f>
        <v/>
      </c>
      <c r="B9" s="42">
        <f t="shared" si="3"/>
        <v>0</v>
      </c>
      <c r="C9" s="139" t="str">
        <f t="shared" si="4"/>
        <v/>
      </c>
      <c r="D9" s="140" t="str">
        <f>'Tournament Details'!C13</f>
        <v/>
      </c>
      <c r="E9" s="44" t="str">
        <f t="shared" si="5"/>
        <v/>
      </c>
      <c r="F9" s="44" t="str">
        <f t="shared" si="6"/>
        <v/>
      </c>
      <c r="G9" s="23" t="str">
        <f>D10</f>
        <v/>
      </c>
      <c r="H9" s="25" t="str">
        <f>IF(D9="","",IF(VLOOKUP(D9,'Tournament Details'!$C:$G,5,FALSE)="",D9,VLOOKUP(D9,'Tournament Details'!$C:$G,5,FALSE)))</f>
        <v/>
      </c>
      <c r="I9" s="7" t="str">
        <f>IF(D9=0,"",IF(VLOOKUP(D9,'Tournament Details'!$C:$E,3,FALSE)&gt;0,VLOOKUP(D9,'Tournament Details'!$C:$E,3,FALSE),""))</f>
        <v/>
      </c>
      <c r="J9" s="121"/>
      <c r="K9" s="121"/>
      <c r="L9" s="23"/>
      <c r="M9" s="23"/>
      <c r="N9" s="23"/>
      <c r="O9" s="23"/>
      <c r="P9" s="184">
        <v>0</v>
      </c>
      <c r="Q9" s="183">
        <f t="shared" si="0"/>
        <v>0</v>
      </c>
      <c r="R9" s="135" t="str">
        <f t="shared" si="1"/>
        <v/>
      </c>
      <c r="S9" s="135" t="str">
        <f>IF(Q9="","",IF(Q9+Q10&lt;&gt;20,IF(Q9+Q10&lt;&gt;0,"!",""),""))</f>
        <v/>
      </c>
      <c r="T9" s="21" t="str">
        <f t="shared" si="2"/>
        <v/>
      </c>
      <c r="U9" s="132">
        <f>IF(D9="",0,VLOOKUP(D9,'Tournament Details'!$C:$X,22,FALSE))</f>
        <v>0</v>
      </c>
      <c r="V9" s="132">
        <f>IF(D9="",0,VLOOKUP(D9,'Tournament Details'!$C:$Y,23,FALSE))</f>
        <v>0</v>
      </c>
      <c r="W9" s="132">
        <f>IF(D9="",0,VLOOKUP(D9,'Tournament Details'!$C:$Z,24,FALSE))</f>
        <v>0</v>
      </c>
      <c r="X9" s="132">
        <f>IF(D9="",0,VLOOKUP(D9,'Tournament Details'!$C:$AA,25,FALSE))</f>
        <v>0</v>
      </c>
      <c r="Y9" s="40" t="str">
        <f>IF(D9="","",IF(COUNTIF(D:D,D9)&gt;1,"DUPLICATE PLAYER",IF(D10="","NO OPPONENT",IF(H9=H10,"SAME TEAM",""))))</f>
        <v/>
      </c>
    </row>
    <row r="10" spans="1:27" ht="15" customHeight="1" thickBot="1" x14ac:dyDescent="0.35">
      <c r="A10" s="224"/>
      <c r="B10" s="43">
        <f t="shared" si="3"/>
        <v>0</v>
      </c>
      <c r="C10" s="139" t="str">
        <f t="shared" si="4"/>
        <v/>
      </c>
      <c r="D10" s="141" t="str">
        <f>'Tournament Details'!C14</f>
        <v/>
      </c>
      <c r="E10" s="142" t="str">
        <f t="shared" si="5"/>
        <v/>
      </c>
      <c r="F10" s="142" t="str">
        <f t="shared" si="6"/>
        <v/>
      </c>
      <c r="G10" s="24" t="str">
        <f>D9</f>
        <v/>
      </c>
      <c r="H10" s="26" t="str">
        <f>IF(D10="","",IF(VLOOKUP(D10,'Tournament Details'!$C:$G,5,FALSE)="",D10,VLOOKUP(D10,'Tournament Details'!$C:$G,5,FALSE)))</f>
        <v/>
      </c>
      <c r="I10" s="12" t="str">
        <f>IF(D10=0,"",IF(VLOOKUP(D10,'Tournament Details'!$C:$E,3,FALSE)&gt;0,VLOOKUP(D10,'Tournament Details'!$C:$E,3,FALSE),""))</f>
        <v/>
      </c>
      <c r="J10" s="122"/>
      <c r="K10" s="122"/>
      <c r="L10" s="23"/>
      <c r="M10" s="24"/>
      <c r="N10" s="24"/>
      <c r="O10" s="24"/>
      <c r="P10" s="185">
        <v>0</v>
      </c>
      <c r="Q10" s="183">
        <f t="shared" si="0"/>
        <v>0</v>
      </c>
      <c r="R10" s="135" t="str">
        <f t="shared" si="1"/>
        <v/>
      </c>
      <c r="S10" s="135" t="str">
        <f>IF(Q10="","",IF(Q9+Q10&lt;&gt;20,IF(Q9+Q10&lt;&gt;0,"!",""),""))</f>
        <v/>
      </c>
      <c r="T10" s="21" t="str">
        <f t="shared" si="2"/>
        <v/>
      </c>
      <c r="U10" s="132">
        <f>IF(D10="",0,VLOOKUP(D10,'Tournament Details'!$C:$X,22,FALSE))</f>
        <v>0</v>
      </c>
      <c r="V10" s="132">
        <f>IF(D10="",0,VLOOKUP(D10,'Tournament Details'!$C:$Y,23,FALSE))</f>
        <v>0</v>
      </c>
      <c r="W10" s="132">
        <f>IF(D10="",0,VLOOKUP(D10,'Tournament Details'!$C:$Z,24,FALSE))</f>
        <v>0</v>
      </c>
      <c r="X10" s="132">
        <f>IF(D10="",0,VLOOKUP(D10,'Tournament Details'!$C:$AA,25,FALSE))</f>
        <v>0</v>
      </c>
      <c r="Y10" s="40" t="str">
        <f>IF(D10="","",IF(COUNTIF(D:D,D10)&gt;1,"DUPLICATE PLAYER",IF(D9="","NO OPPONENT",IF(H10=H9,"SAME TEAM",""))))</f>
        <v/>
      </c>
    </row>
    <row r="11" spans="1:27" ht="15" customHeight="1" thickBot="1" x14ac:dyDescent="0.35">
      <c r="A11" s="224" t="str">
        <f>IF('Tournament Details'!A1&gt;=1,IF(LARGE('Tournament Details'!C7:C86,1)&gt;=10,5,""),"")</f>
        <v/>
      </c>
      <c r="B11" s="42">
        <f t="shared" si="3"/>
        <v>0</v>
      </c>
      <c r="C11" s="139" t="str">
        <f t="shared" si="4"/>
        <v/>
      </c>
      <c r="D11" s="140" t="str">
        <f>'Tournament Details'!C15</f>
        <v/>
      </c>
      <c r="E11" s="44" t="str">
        <f t="shared" si="5"/>
        <v/>
      </c>
      <c r="F11" s="44" t="str">
        <f t="shared" si="6"/>
        <v/>
      </c>
      <c r="G11" s="23" t="str">
        <f>D12</f>
        <v/>
      </c>
      <c r="H11" s="25" t="str">
        <f>IF(D11="","",IF(VLOOKUP(D11,'Tournament Details'!$C:$G,5,FALSE)="",D11,VLOOKUP(D11,'Tournament Details'!$C:$G,5,FALSE)))</f>
        <v/>
      </c>
      <c r="I11" s="7" t="str">
        <f>IF(D11=0,"",IF(VLOOKUP(D11,'Tournament Details'!$C:$E,3,FALSE)&gt;0,VLOOKUP(D11,'Tournament Details'!$C:$E,3,FALSE),""))</f>
        <v/>
      </c>
      <c r="J11" s="121"/>
      <c r="K11" s="121"/>
      <c r="L11" s="23"/>
      <c r="M11" s="23"/>
      <c r="N11" s="23"/>
      <c r="O11" s="23"/>
      <c r="P11" s="184">
        <v>0</v>
      </c>
      <c r="Q11" s="183">
        <f t="shared" si="0"/>
        <v>0</v>
      </c>
      <c r="R11" s="135" t="str">
        <f t="shared" si="1"/>
        <v/>
      </c>
      <c r="S11" s="135" t="str">
        <f>IF(Q11="","",IF(Q11+Q12&lt;&gt;20,IF(Q11+Q12&lt;&gt;0,"!",""),""))</f>
        <v/>
      </c>
      <c r="T11" s="21" t="str">
        <f t="shared" si="2"/>
        <v/>
      </c>
      <c r="U11" s="132">
        <f>IF(D11="",0,VLOOKUP(D11,'Tournament Details'!$C:$X,22,FALSE))</f>
        <v>0</v>
      </c>
      <c r="V11" s="132">
        <f>IF(D11="",0,VLOOKUP(D11,'Tournament Details'!$C:$Y,23,FALSE))</f>
        <v>0</v>
      </c>
      <c r="W11" s="132">
        <f>IF(D11="",0,VLOOKUP(D11,'Tournament Details'!$C:$Z,24,FALSE))</f>
        <v>0</v>
      </c>
      <c r="X11" s="132">
        <f>IF(D11="",0,VLOOKUP(D11,'Tournament Details'!$C:$AA,25,FALSE))</f>
        <v>0</v>
      </c>
      <c r="Y11" s="40" t="str">
        <f>IF(D11="","",IF(COUNTIF(D:D,D11)&gt;1,"DUPLICATE PLAYER",IF(D12="","NO OPPONENT",IF(H11=H12,"SAME TEAM",""))))</f>
        <v/>
      </c>
    </row>
    <row r="12" spans="1:27" ht="15" customHeight="1" thickBot="1" x14ac:dyDescent="0.35">
      <c r="A12" s="224"/>
      <c r="B12" s="43">
        <f t="shared" si="3"/>
        <v>0</v>
      </c>
      <c r="C12" s="139" t="str">
        <f t="shared" si="4"/>
        <v/>
      </c>
      <c r="D12" s="141" t="str">
        <f>'Tournament Details'!C16</f>
        <v/>
      </c>
      <c r="E12" s="142" t="str">
        <f t="shared" si="5"/>
        <v/>
      </c>
      <c r="F12" s="142" t="str">
        <f t="shared" si="6"/>
        <v/>
      </c>
      <c r="G12" s="24" t="str">
        <f>D11</f>
        <v/>
      </c>
      <c r="H12" s="26" t="str">
        <f>IF(D12="","",IF(VLOOKUP(D12,'Tournament Details'!$C:$G,5,FALSE)="",D12,VLOOKUP(D12,'Tournament Details'!$C:$G,5,FALSE)))</f>
        <v/>
      </c>
      <c r="I12" s="12" t="str">
        <f>IF(D12=0,"",IF(VLOOKUP(D12,'Tournament Details'!$C:$E,3,FALSE)&gt;0,VLOOKUP(D12,'Tournament Details'!$C:$E,3,FALSE),""))</f>
        <v/>
      </c>
      <c r="J12" s="122"/>
      <c r="K12" s="122"/>
      <c r="L12" s="23"/>
      <c r="M12" s="24"/>
      <c r="N12" s="24"/>
      <c r="O12" s="24"/>
      <c r="P12" s="185">
        <v>0</v>
      </c>
      <c r="Q12" s="183">
        <f t="shared" si="0"/>
        <v>0</v>
      </c>
      <c r="R12" s="135" t="str">
        <f t="shared" si="1"/>
        <v/>
      </c>
      <c r="S12" s="135" t="str">
        <f>IF(Q12="","",IF(Q11+Q12&lt;&gt;20,IF(Q11+Q12&lt;&gt;0,"!",""),""))</f>
        <v/>
      </c>
      <c r="T12" s="21" t="str">
        <f t="shared" si="2"/>
        <v/>
      </c>
      <c r="U12" s="132">
        <f>IF(D12="",0,VLOOKUP(D12,'Tournament Details'!$C:$X,22,FALSE))</f>
        <v>0</v>
      </c>
      <c r="V12" s="132">
        <f>IF(D12="",0,VLOOKUP(D12,'Tournament Details'!$C:$Y,23,FALSE))</f>
        <v>0</v>
      </c>
      <c r="W12" s="132">
        <f>IF(D12="",0,VLOOKUP(D12,'Tournament Details'!$C:$Z,24,FALSE))</f>
        <v>0</v>
      </c>
      <c r="X12" s="132">
        <f>IF(D12="",0,VLOOKUP(D12,'Tournament Details'!$C:$AA,25,FALSE))</f>
        <v>0</v>
      </c>
      <c r="Y12" s="40" t="str">
        <f>IF(D12="","",IF(COUNTIF(D:D,D12)&gt;1,"DUPLICATE PLAYER",IF(D11="","NO OPPONENT",IF(H12=H11,"SAME TEAM",""))))</f>
        <v/>
      </c>
    </row>
    <row r="13" spans="1:27" ht="15" customHeight="1" thickBot="1" x14ac:dyDescent="0.35">
      <c r="A13" s="224" t="str">
        <f>IF('Tournament Details'!A1&gt;=1,IF(LARGE('Tournament Details'!C7:C86,1)&gt;=12,6,""),"")</f>
        <v/>
      </c>
      <c r="B13" s="42">
        <f t="shared" si="3"/>
        <v>0</v>
      </c>
      <c r="C13" s="139" t="str">
        <f t="shared" si="4"/>
        <v/>
      </c>
      <c r="D13" s="140" t="str">
        <f>'Tournament Details'!C17</f>
        <v/>
      </c>
      <c r="E13" s="44" t="str">
        <f t="shared" si="5"/>
        <v/>
      </c>
      <c r="F13" s="44" t="str">
        <f t="shared" si="6"/>
        <v/>
      </c>
      <c r="G13" s="23" t="str">
        <f>D14</f>
        <v/>
      </c>
      <c r="H13" s="25" t="str">
        <f>IF(D13="","",IF(VLOOKUP(D13,'Tournament Details'!$C:$G,5,FALSE)="",D13,VLOOKUP(D13,'Tournament Details'!$C:$G,5,FALSE)))</f>
        <v/>
      </c>
      <c r="I13" s="7" t="str">
        <f>IF(D13=0,"",IF(VLOOKUP(D13,'Tournament Details'!$C:$E,3,FALSE)&gt;0,VLOOKUP(D13,'Tournament Details'!$C:$E,3,FALSE),""))</f>
        <v/>
      </c>
      <c r="J13" s="121"/>
      <c r="K13" s="121"/>
      <c r="L13" s="23"/>
      <c r="M13" s="23"/>
      <c r="N13" s="23"/>
      <c r="O13" s="23"/>
      <c r="P13" s="184">
        <v>0</v>
      </c>
      <c r="Q13" s="183">
        <f t="shared" si="0"/>
        <v>0</v>
      </c>
      <c r="R13" s="135" t="str">
        <f t="shared" si="1"/>
        <v/>
      </c>
      <c r="S13" s="135" t="str">
        <f>IF(Q13="","",IF(Q13+Q14&lt;&gt;20,IF(Q13+Q14&lt;&gt;0,"!",""),""))</f>
        <v/>
      </c>
      <c r="T13" s="21" t="str">
        <f t="shared" si="2"/>
        <v/>
      </c>
      <c r="U13" s="132">
        <f>IF(D13="",0,VLOOKUP(D13,'Tournament Details'!$C:$X,22,FALSE))</f>
        <v>0</v>
      </c>
      <c r="V13" s="132">
        <f>IF(D13="",0,VLOOKUP(D13,'Tournament Details'!$C:$Y,23,FALSE))</f>
        <v>0</v>
      </c>
      <c r="W13" s="132">
        <f>IF(D13="",0,VLOOKUP(D13,'Tournament Details'!$C:$Z,24,FALSE))</f>
        <v>0</v>
      </c>
      <c r="X13" s="132">
        <f>IF(D13="",0,VLOOKUP(D13,'Tournament Details'!$C:$AA,25,FALSE))</f>
        <v>0</v>
      </c>
      <c r="Y13" s="40" t="str">
        <f>IF(D13="","",IF(COUNTIF(D:D,D13)&gt;1,"DUPLICATE PLAYER",IF(D14="","NO OPPONENT",IF(H13=H14,"SAME TEAM",""))))</f>
        <v/>
      </c>
    </row>
    <row r="14" spans="1:27" ht="15" customHeight="1" thickBot="1" x14ac:dyDescent="0.35">
      <c r="A14" s="224"/>
      <c r="B14" s="43">
        <f t="shared" si="3"/>
        <v>0</v>
      </c>
      <c r="C14" s="139" t="str">
        <f t="shared" si="4"/>
        <v/>
      </c>
      <c r="D14" s="141" t="str">
        <f>'Tournament Details'!C18</f>
        <v/>
      </c>
      <c r="E14" s="142" t="str">
        <f t="shared" si="5"/>
        <v/>
      </c>
      <c r="F14" s="142" t="str">
        <f t="shared" si="6"/>
        <v/>
      </c>
      <c r="G14" s="24" t="str">
        <f>D13</f>
        <v/>
      </c>
      <c r="H14" s="26" t="str">
        <f>IF(D14="","",IF(VLOOKUP(D14,'Tournament Details'!$C:$G,5,FALSE)="",D14,VLOOKUP(D14,'Tournament Details'!$C:$G,5,FALSE)))</f>
        <v/>
      </c>
      <c r="I14" s="12" t="str">
        <f>IF(D14=0,"",IF(VLOOKUP(D14,'Tournament Details'!$C:$E,3,FALSE)&gt;0,VLOOKUP(D14,'Tournament Details'!$C:$E,3,FALSE),""))</f>
        <v/>
      </c>
      <c r="J14" s="122"/>
      <c r="K14" s="122"/>
      <c r="L14" s="23"/>
      <c r="M14" s="24"/>
      <c r="N14" s="24"/>
      <c r="O14" s="24"/>
      <c r="P14" s="185">
        <v>0</v>
      </c>
      <c r="Q14" s="183">
        <f t="shared" si="0"/>
        <v>0</v>
      </c>
      <c r="R14" s="135" t="str">
        <f t="shared" si="1"/>
        <v/>
      </c>
      <c r="S14" s="135" t="str">
        <f>IF(Q14="","",IF(Q13+Q14&lt;&gt;20,IF(Q13+Q14&lt;&gt;0,"!",""),""))</f>
        <v/>
      </c>
      <c r="T14" s="21" t="str">
        <f t="shared" si="2"/>
        <v/>
      </c>
      <c r="U14" s="132">
        <f>IF(D14="",0,VLOOKUP(D14,'Tournament Details'!$C:$X,22,FALSE))</f>
        <v>0</v>
      </c>
      <c r="V14" s="132">
        <f>IF(D14="",0,VLOOKUP(D14,'Tournament Details'!$C:$Y,23,FALSE))</f>
        <v>0</v>
      </c>
      <c r="W14" s="132">
        <f>IF(D14="",0,VLOOKUP(D14,'Tournament Details'!$C:$Z,24,FALSE))</f>
        <v>0</v>
      </c>
      <c r="X14" s="132">
        <f>IF(D14="",0,VLOOKUP(D14,'Tournament Details'!$C:$AA,25,FALSE))</f>
        <v>0</v>
      </c>
      <c r="Y14" s="40" t="str">
        <f>IF(D14="","",IF(COUNTIF(D:D,D14)&gt;1,"DUPLICATE PLAYER",IF(D13="","NO OPPONENT",IF(H14=H13,"SAME TEAM",""))))</f>
        <v/>
      </c>
    </row>
    <row r="15" spans="1:27" ht="15" customHeight="1" thickBot="1" x14ac:dyDescent="0.35">
      <c r="A15" s="224" t="str">
        <f>IF('Tournament Details'!A1&gt;=1,IF(LARGE('Tournament Details'!C7:C86,1)&gt;=14,7,""),"")</f>
        <v/>
      </c>
      <c r="B15" s="42">
        <f t="shared" si="3"/>
        <v>0</v>
      </c>
      <c r="C15" s="139" t="str">
        <f t="shared" si="4"/>
        <v/>
      </c>
      <c r="D15" s="140" t="str">
        <f>'Tournament Details'!C19</f>
        <v/>
      </c>
      <c r="E15" s="44" t="str">
        <f t="shared" si="5"/>
        <v/>
      </c>
      <c r="F15" s="44" t="str">
        <f t="shared" si="6"/>
        <v/>
      </c>
      <c r="G15" s="23" t="str">
        <f>D16</f>
        <v/>
      </c>
      <c r="H15" s="25" t="str">
        <f>IF(D15="","",IF(VLOOKUP(D15,'Tournament Details'!$C:$G,5,FALSE)="",D15,VLOOKUP(D15,'Tournament Details'!$C:$G,5,FALSE)))</f>
        <v/>
      </c>
      <c r="I15" s="7" t="str">
        <f>IF(D15=0,"",IF(VLOOKUP(D15,'Tournament Details'!$C:$E,3,FALSE)&gt;0,VLOOKUP(D15,'Tournament Details'!$C:$E,3,FALSE),""))</f>
        <v/>
      </c>
      <c r="J15" s="121"/>
      <c r="K15" s="121"/>
      <c r="L15" s="23"/>
      <c r="M15" s="23"/>
      <c r="N15" s="23"/>
      <c r="O15" s="23"/>
      <c r="P15" s="184">
        <v>0</v>
      </c>
      <c r="Q15" s="183">
        <f t="shared" si="0"/>
        <v>0</v>
      </c>
      <c r="R15" s="135" t="str">
        <f t="shared" si="1"/>
        <v/>
      </c>
      <c r="S15" s="135" t="str">
        <f>IF(Q15="","",IF(Q15+Q16&lt;&gt;20,IF(Q15+Q16&lt;&gt;0,"!",""),""))</f>
        <v/>
      </c>
      <c r="T15" s="21" t="str">
        <f t="shared" si="2"/>
        <v/>
      </c>
      <c r="U15" s="132">
        <f>IF(D15="",0,VLOOKUP(D15,'Tournament Details'!$C:$X,22,FALSE))</f>
        <v>0</v>
      </c>
      <c r="V15" s="132">
        <f>IF(D15="",0,VLOOKUP(D15,'Tournament Details'!$C:$Y,23,FALSE))</f>
        <v>0</v>
      </c>
      <c r="W15" s="132">
        <f>IF(D15="",0,VLOOKUP(D15,'Tournament Details'!$C:$Z,24,FALSE))</f>
        <v>0</v>
      </c>
      <c r="X15" s="132">
        <f>IF(D15="",0,VLOOKUP(D15,'Tournament Details'!$C:$AA,25,FALSE))</f>
        <v>0</v>
      </c>
      <c r="Y15" s="40" t="str">
        <f>IF(D15="","",IF(COUNTIF(D:D,D15)&gt;1,"DUPLICATE PLAYER",IF(D16="","NO OPPONENT",IF(H15=H16,"SAME TEAM",""))))</f>
        <v/>
      </c>
    </row>
    <row r="16" spans="1:27" ht="15" customHeight="1" thickBot="1" x14ac:dyDescent="0.35">
      <c r="A16" s="224"/>
      <c r="B16" s="43">
        <f t="shared" si="3"/>
        <v>0</v>
      </c>
      <c r="C16" s="139" t="str">
        <f t="shared" si="4"/>
        <v/>
      </c>
      <c r="D16" s="141" t="str">
        <f>'Tournament Details'!C20</f>
        <v/>
      </c>
      <c r="E16" s="142" t="str">
        <f t="shared" si="5"/>
        <v/>
      </c>
      <c r="F16" s="142" t="str">
        <f t="shared" si="6"/>
        <v/>
      </c>
      <c r="G16" s="24" t="str">
        <f>D15</f>
        <v/>
      </c>
      <c r="H16" s="26" t="str">
        <f>IF(D16="","",IF(VLOOKUP(D16,'Tournament Details'!$C:$G,5,FALSE)="",D16,VLOOKUP(D16,'Tournament Details'!$C:$G,5,FALSE)))</f>
        <v/>
      </c>
      <c r="I16" s="12" t="str">
        <f>IF(D16=0,"",IF(VLOOKUP(D16,'Tournament Details'!$C:$E,3,FALSE)&gt;0,VLOOKUP(D16,'Tournament Details'!$C:$E,3,FALSE),""))</f>
        <v/>
      </c>
      <c r="J16" s="122"/>
      <c r="K16" s="122"/>
      <c r="L16" s="23"/>
      <c r="M16" s="24"/>
      <c r="N16" s="24"/>
      <c r="O16" s="24"/>
      <c r="P16" s="185">
        <v>0</v>
      </c>
      <c r="Q16" s="183">
        <f t="shared" si="0"/>
        <v>0</v>
      </c>
      <c r="R16" s="135" t="str">
        <f t="shared" si="1"/>
        <v/>
      </c>
      <c r="S16" s="135" t="str">
        <f>IF(Q16="","",IF(Q15+Q16&lt;&gt;20,IF(Q15+Q16&lt;&gt;0,"!",""),""))</f>
        <v/>
      </c>
      <c r="T16" s="21" t="str">
        <f t="shared" si="2"/>
        <v/>
      </c>
      <c r="U16" s="132">
        <f>IF(D16="",0,VLOOKUP(D16,'Tournament Details'!$C:$X,22,FALSE))</f>
        <v>0</v>
      </c>
      <c r="V16" s="132">
        <f>IF(D16="",0,VLOOKUP(D16,'Tournament Details'!$C:$Y,23,FALSE))</f>
        <v>0</v>
      </c>
      <c r="W16" s="132">
        <f>IF(D16="",0,VLOOKUP(D16,'Tournament Details'!$C:$Z,24,FALSE))</f>
        <v>0</v>
      </c>
      <c r="X16" s="132">
        <f>IF(D16="",0,VLOOKUP(D16,'Tournament Details'!$C:$AA,25,FALSE))</f>
        <v>0</v>
      </c>
      <c r="Y16" s="40" t="str">
        <f>IF(D16="","",IF(COUNTIF(D:D,D16)&gt;1,"DUPLICATE PLAYER",IF(D15="","NO OPPONENT",IF(H16=H15,"SAME TEAM",""))))</f>
        <v/>
      </c>
    </row>
    <row r="17" spans="1:25" ht="15" customHeight="1" thickBot="1" x14ac:dyDescent="0.35">
      <c r="A17" s="224" t="str">
        <f>IF('Tournament Details'!A1&gt;=1,IF(LARGE('Tournament Details'!C7:C86,1)&gt;=16,8,""),"")</f>
        <v/>
      </c>
      <c r="B17" s="42">
        <f t="shared" si="3"/>
        <v>0</v>
      </c>
      <c r="C17" s="139" t="str">
        <f t="shared" si="4"/>
        <v/>
      </c>
      <c r="D17" s="140" t="str">
        <f>'Tournament Details'!C21</f>
        <v/>
      </c>
      <c r="E17" s="44" t="str">
        <f t="shared" si="5"/>
        <v/>
      </c>
      <c r="F17" s="44" t="str">
        <f t="shared" si="6"/>
        <v/>
      </c>
      <c r="G17" s="23" t="str">
        <f>D18</f>
        <v/>
      </c>
      <c r="H17" s="25" t="str">
        <f>IF(D17="","",IF(VLOOKUP(D17,'Tournament Details'!$C:$G,5,FALSE)="",D17,VLOOKUP(D17,'Tournament Details'!$C:$G,5,FALSE)))</f>
        <v/>
      </c>
      <c r="I17" s="7" t="str">
        <f>IF(D17=0,"",IF(VLOOKUP(D17,'Tournament Details'!$C:$E,3,FALSE)&gt;0,VLOOKUP(D17,'Tournament Details'!$C:$E,3,FALSE),""))</f>
        <v/>
      </c>
      <c r="J17" s="121"/>
      <c r="K17" s="121"/>
      <c r="L17" s="23"/>
      <c r="M17" s="23"/>
      <c r="N17" s="23"/>
      <c r="O17" s="23"/>
      <c r="P17" s="184">
        <v>0</v>
      </c>
      <c r="Q17" s="183">
        <f t="shared" si="0"/>
        <v>0</v>
      </c>
      <c r="R17" s="135" t="str">
        <f t="shared" si="1"/>
        <v/>
      </c>
      <c r="S17" s="135" t="str">
        <f>IF(Q17="","",IF(Q17+Q18&lt;&gt;20,IF(Q17+Q18&lt;&gt;0,"!",""),""))</f>
        <v/>
      </c>
      <c r="T17" s="21" t="str">
        <f t="shared" si="2"/>
        <v/>
      </c>
      <c r="U17" s="132">
        <f>IF(D17="",0,VLOOKUP(D17,'Tournament Details'!$C:$X,22,FALSE))</f>
        <v>0</v>
      </c>
      <c r="V17" s="132">
        <f>IF(D17="",0,VLOOKUP(D17,'Tournament Details'!$C:$Y,23,FALSE))</f>
        <v>0</v>
      </c>
      <c r="W17" s="132">
        <f>IF(D17="",0,VLOOKUP(D17,'Tournament Details'!$C:$Z,24,FALSE))</f>
        <v>0</v>
      </c>
      <c r="X17" s="132">
        <f>IF(D17="",0,VLOOKUP(D17,'Tournament Details'!$C:$AA,25,FALSE))</f>
        <v>0</v>
      </c>
      <c r="Y17" s="40" t="str">
        <f>IF(D17="","",IF(COUNTIF(D:D,D17)&gt;1,"DUPLICATE PLAYER",IF(D18="","NO OPPONENT",IF(H17=H18,"SAME TEAM",""))))</f>
        <v/>
      </c>
    </row>
    <row r="18" spans="1:25" ht="15" customHeight="1" thickBot="1" x14ac:dyDescent="0.35">
      <c r="A18" s="224"/>
      <c r="B18" s="43">
        <f t="shared" si="3"/>
        <v>0</v>
      </c>
      <c r="C18" s="139" t="str">
        <f t="shared" si="4"/>
        <v/>
      </c>
      <c r="D18" s="141" t="str">
        <f>'Tournament Details'!C22</f>
        <v/>
      </c>
      <c r="E18" s="142" t="str">
        <f t="shared" si="5"/>
        <v/>
      </c>
      <c r="F18" s="142" t="str">
        <f t="shared" si="6"/>
        <v/>
      </c>
      <c r="G18" s="24" t="str">
        <f>D17</f>
        <v/>
      </c>
      <c r="H18" s="26" t="str">
        <f>IF(D18="","",IF(VLOOKUP(D18,'Tournament Details'!$C:$G,5,FALSE)="",D18,VLOOKUP(D18,'Tournament Details'!$C:$G,5,FALSE)))</f>
        <v/>
      </c>
      <c r="I18" s="12" t="str">
        <f>IF(D18=0,"",IF(VLOOKUP(D18,'Tournament Details'!$C:$E,3,FALSE)&gt;0,VLOOKUP(D18,'Tournament Details'!$C:$E,3,FALSE),""))</f>
        <v/>
      </c>
      <c r="J18" s="122"/>
      <c r="K18" s="122"/>
      <c r="L18" s="23"/>
      <c r="M18" s="24"/>
      <c r="N18" s="24"/>
      <c r="O18" s="24"/>
      <c r="P18" s="185">
        <v>0</v>
      </c>
      <c r="Q18" s="183">
        <f t="shared" si="0"/>
        <v>0</v>
      </c>
      <c r="R18" s="135" t="str">
        <f t="shared" si="1"/>
        <v/>
      </c>
      <c r="S18" s="135" t="str">
        <f>IF(Q18="","",IF(Q17+Q18&lt;&gt;20,IF(Q17+Q18&lt;&gt;0,"!",""),""))</f>
        <v/>
      </c>
      <c r="T18" s="21" t="str">
        <f t="shared" si="2"/>
        <v/>
      </c>
      <c r="U18" s="132">
        <f>IF(D18="",0,VLOOKUP(D18,'Tournament Details'!$C:$X,22,FALSE))</f>
        <v>0</v>
      </c>
      <c r="V18" s="132">
        <f>IF(D18="",0,VLOOKUP(D18,'Tournament Details'!$C:$Y,23,FALSE))</f>
        <v>0</v>
      </c>
      <c r="W18" s="132">
        <f>IF(D18="",0,VLOOKUP(D18,'Tournament Details'!$C:$Z,24,FALSE))</f>
        <v>0</v>
      </c>
      <c r="X18" s="132">
        <f>IF(D18="",0,VLOOKUP(D18,'Tournament Details'!$C:$AA,25,FALSE))</f>
        <v>0</v>
      </c>
      <c r="Y18" s="40" t="str">
        <f>IF(D18="","",IF(COUNTIF(D:D,D18)&gt;1,"DUPLICATE PLAYER",IF(D17="","NO OPPONENT",IF(H18=H17,"SAME TEAM",""))))</f>
        <v/>
      </c>
    </row>
    <row r="19" spans="1:25" ht="15" customHeight="1" thickBot="1" x14ac:dyDescent="0.35">
      <c r="A19" s="224" t="str">
        <f>IF('Tournament Details'!A1&gt;=1,IF(LARGE('Tournament Details'!C7:C86,1)&gt;=18,9,""),"")</f>
        <v/>
      </c>
      <c r="B19" s="42">
        <f t="shared" si="3"/>
        <v>0</v>
      </c>
      <c r="C19" s="139" t="str">
        <f t="shared" si="4"/>
        <v/>
      </c>
      <c r="D19" s="140" t="str">
        <f>'Tournament Details'!C23</f>
        <v/>
      </c>
      <c r="E19" s="44" t="str">
        <f t="shared" si="5"/>
        <v/>
      </c>
      <c r="F19" s="44" t="str">
        <f t="shared" si="6"/>
        <v/>
      </c>
      <c r="G19" s="23" t="str">
        <f>D20</f>
        <v/>
      </c>
      <c r="H19" s="25" t="str">
        <f>IF(D19="","",IF(VLOOKUP(D19,'Tournament Details'!$C:$G,5,FALSE)="",D19,VLOOKUP(D19,'Tournament Details'!$C:$G,5,FALSE)))</f>
        <v/>
      </c>
      <c r="I19" s="7" t="str">
        <f>IF(D19=0,"",IF(VLOOKUP(D19,'Tournament Details'!$C:$E,3,FALSE)&gt;0,VLOOKUP(D19,'Tournament Details'!$C:$E,3,FALSE),""))</f>
        <v/>
      </c>
      <c r="J19" s="121"/>
      <c r="K19" s="121"/>
      <c r="L19" s="23"/>
      <c r="M19" s="23"/>
      <c r="N19" s="23"/>
      <c r="O19" s="23"/>
      <c r="P19" s="184">
        <v>0</v>
      </c>
      <c r="Q19" s="183">
        <f t="shared" si="0"/>
        <v>0</v>
      </c>
      <c r="R19" s="135" t="str">
        <f t="shared" si="1"/>
        <v/>
      </c>
      <c r="S19" s="135" t="str">
        <f>IF(Q19="","",IF(Q19+Q20&lt;&gt;20,IF(Q19+Q20&lt;&gt;0,"!",""),""))</f>
        <v/>
      </c>
      <c r="T19" s="21" t="str">
        <f t="shared" si="2"/>
        <v/>
      </c>
      <c r="U19" s="132">
        <f>IF(D19="",0,VLOOKUP(D19,'Tournament Details'!$C:$X,22,FALSE))</f>
        <v>0</v>
      </c>
      <c r="V19" s="132">
        <f>IF(D19="",0,VLOOKUP(D19,'Tournament Details'!$C:$Y,23,FALSE))</f>
        <v>0</v>
      </c>
      <c r="W19" s="132">
        <f>IF(D19="",0,VLOOKUP(D19,'Tournament Details'!$C:$Z,24,FALSE))</f>
        <v>0</v>
      </c>
      <c r="X19" s="132">
        <f>IF(D19="",0,VLOOKUP(D19,'Tournament Details'!$C:$AA,25,FALSE))</f>
        <v>0</v>
      </c>
      <c r="Y19" s="40" t="str">
        <f>IF(D19="","",IF(COUNTIF(D:D,D19)&gt;1,"DUPLICATE PLAYER",IF(D20="","NO OPPONENT",IF(H19=H20,"SAME TEAM",""))))</f>
        <v/>
      </c>
    </row>
    <row r="20" spans="1:25" ht="15" customHeight="1" thickBot="1" x14ac:dyDescent="0.35">
      <c r="A20" s="224"/>
      <c r="B20" s="43">
        <f t="shared" si="3"/>
        <v>0</v>
      </c>
      <c r="C20" s="139" t="str">
        <f t="shared" si="4"/>
        <v/>
      </c>
      <c r="D20" s="141" t="str">
        <f>'Tournament Details'!C24</f>
        <v/>
      </c>
      <c r="E20" s="142" t="str">
        <f t="shared" si="5"/>
        <v/>
      </c>
      <c r="F20" s="142" t="str">
        <f t="shared" si="6"/>
        <v/>
      </c>
      <c r="G20" s="24" t="str">
        <f>D19</f>
        <v/>
      </c>
      <c r="H20" s="26" t="str">
        <f>IF(D20="","",IF(VLOOKUP(D20,'Tournament Details'!$C:$G,5,FALSE)="",D20,VLOOKUP(D20,'Tournament Details'!$C:$G,5,FALSE)))</f>
        <v/>
      </c>
      <c r="I20" s="12" t="str">
        <f>IF(D20=0,"",IF(VLOOKUP(D20,'Tournament Details'!$C:$E,3,FALSE)&gt;0,VLOOKUP(D20,'Tournament Details'!$C:$E,3,FALSE),""))</f>
        <v/>
      </c>
      <c r="J20" s="122"/>
      <c r="K20" s="122"/>
      <c r="L20" s="23"/>
      <c r="M20" s="24"/>
      <c r="N20" s="24"/>
      <c r="O20" s="24"/>
      <c r="P20" s="185">
        <v>0</v>
      </c>
      <c r="Q20" s="183">
        <f t="shared" si="0"/>
        <v>0</v>
      </c>
      <c r="R20" s="135" t="str">
        <f t="shared" si="1"/>
        <v/>
      </c>
      <c r="S20" s="135" t="str">
        <f>IF(Q20="","",IF(Q19+Q20&lt;&gt;20,IF(Q19+Q20&lt;&gt;0,"!",""),""))</f>
        <v/>
      </c>
      <c r="T20" s="21" t="str">
        <f t="shared" si="2"/>
        <v/>
      </c>
      <c r="U20" s="132">
        <f>IF(D20="",0,VLOOKUP(D20,'Tournament Details'!$C:$X,22,FALSE))</f>
        <v>0</v>
      </c>
      <c r="V20" s="132">
        <f>IF(D20="",0,VLOOKUP(D20,'Tournament Details'!$C:$Y,23,FALSE))</f>
        <v>0</v>
      </c>
      <c r="W20" s="132">
        <f>IF(D20="",0,VLOOKUP(D20,'Tournament Details'!$C:$Z,24,FALSE))</f>
        <v>0</v>
      </c>
      <c r="X20" s="132">
        <f>IF(D20="",0,VLOOKUP(D20,'Tournament Details'!$C:$AA,25,FALSE))</f>
        <v>0</v>
      </c>
      <c r="Y20" s="40" t="str">
        <f>IF(D20="","",IF(COUNTIF(D:D,D20)&gt;1,"DUPLICATE PLAYER",IF(D19="","NO OPPONENT",IF(H20=H19,"SAME TEAM",""))))</f>
        <v/>
      </c>
    </row>
    <row r="21" spans="1:25" ht="15" customHeight="1" thickBot="1" x14ac:dyDescent="0.35">
      <c r="A21" s="224" t="str">
        <f>IF('Tournament Details'!A1&gt;=1,IF(LARGE('Tournament Details'!C7:C86,1)&gt;=20,10,""),"")</f>
        <v/>
      </c>
      <c r="B21" s="42">
        <f t="shared" si="3"/>
        <v>0</v>
      </c>
      <c r="C21" s="139" t="str">
        <f t="shared" si="4"/>
        <v/>
      </c>
      <c r="D21" s="140" t="str">
        <f>'Tournament Details'!C25</f>
        <v/>
      </c>
      <c r="E21" s="44" t="str">
        <f t="shared" si="5"/>
        <v/>
      </c>
      <c r="F21" s="44" t="str">
        <f t="shared" si="6"/>
        <v/>
      </c>
      <c r="G21" s="23" t="str">
        <f>D22</f>
        <v/>
      </c>
      <c r="H21" s="25" t="str">
        <f>IF(D21="","",IF(VLOOKUP(D21,'Tournament Details'!$C:$G,5,FALSE)="",D21,VLOOKUP(D21,'Tournament Details'!$C:$G,5,FALSE)))</f>
        <v/>
      </c>
      <c r="I21" s="7" t="str">
        <f>IF(D21=0,"",IF(VLOOKUP(D21,'Tournament Details'!$C:$E,3,FALSE)&gt;0,VLOOKUP(D21,'Tournament Details'!$C:$E,3,FALSE),""))</f>
        <v/>
      </c>
      <c r="J21" s="121"/>
      <c r="K21" s="121"/>
      <c r="L21" s="23"/>
      <c r="M21" s="23"/>
      <c r="N21" s="23"/>
      <c r="O21" s="23"/>
      <c r="P21" s="184">
        <v>0</v>
      </c>
      <c r="Q21" s="183">
        <f t="shared" si="0"/>
        <v>0</v>
      </c>
      <c r="R21" s="135" t="str">
        <f t="shared" si="1"/>
        <v/>
      </c>
      <c r="S21" s="135" t="str">
        <f>IF(Q21="","",IF(Q21+Q22&lt;&gt;20,IF(Q21+Q22&lt;&gt;0,"!",""),""))</f>
        <v/>
      </c>
      <c r="T21" s="21" t="str">
        <f t="shared" si="2"/>
        <v/>
      </c>
      <c r="U21" s="132">
        <f>IF(D21="",0,VLOOKUP(D21,'Tournament Details'!$C:$X,22,FALSE))</f>
        <v>0</v>
      </c>
      <c r="V21" s="132">
        <f>IF(D21="",0,VLOOKUP(D21,'Tournament Details'!$C:$Y,23,FALSE))</f>
        <v>0</v>
      </c>
      <c r="W21" s="132">
        <f>IF(D21="",0,VLOOKUP(D21,'Tournament Details'!$C:$Z,24,FALSE))</f>
        <v>0</v>
      </c>
      <c r="X21" s="132">
        <f>IF(D21="",0,VLOOKUP(D21,'Tournament Details'!$C:$AA,25,FALSE))</f>
        <v>0</v>
      </c>
      <c r="Y21" s="40" t="str">
        <f>IF(D21="","",IF(COUNTIF(D:D,D21)&gt;1,"DUPLICATE PLAYER",IF(D22="","NO OPPONENT",IF(H21=H22,"SAME TEAM",""))))</f>
        <v/>
      </c>
    </row>
    <row r="22" spans="1:25" ht="15" customHeight="1" thickBot="1" x14ac:dyDescent="0.35">
      <c r="A22" s="224"/>
      <c r="B22" s="43">
        <f t="shared" si="3"/>
        <v>0</v>
      </c>
      <c r="C22" s="139" t="str">
        <f t="shared" si="4"/>
        <v/>
      </c>
      <c r="D22" s="141" t="str">
        <f>'Tournament Details'!C26</f>
        <v/>
      </c>
      <c r="E22" s="142" t="str">
        <f t="shared" si="5"/>
        <v/>
      </c>
      <c r="F22" s="142" t="str">
        <f t="shared" si="6"/>
        <v/>
      </c>
      <c r="G22" s="24" t="str">
        <f>D21</f>
        <v/>
      </c>
      <c r="H22" s="26" t="str">
        <f>IF(D22="","",IF(VLOOKUP(D22,'Tournament Details'!$C:$G,5,FALSE)="",D22,VLOOKUP(D22,'Tournament Details'!$C:$G,5,FALSE)))</f>
        <v/>
      </c>
      <c r="I22" s="12" t="str">
        <f>IF(D22=0,"",IF(VLOOKUP(D22,'Tournament Details'!$C:$E,3,FALSE)&gt;0,VLOOKUP(D22,'Tournament Details'!$C:$E,3,FALSE),""))</f>
        <v/>
      </c>
      <c r="J22" s="122"/>
      <c r="K22" s="122"/>
      <c r="L22" s="23"/>
      <c r="M22" s="24"/>
      <c r="N22" s="24"/>
      <c r="O22" s="24"/>
      <c r="P22" s="185">
        <v>0</v>
      </c>
      <c r="Q22" s="183">
        <f t="shared" si="0"/>
        <v>0</v>
      </c>
      <c r="R22" s="135" t="str">
        <f t="shared" si="1"/>
        <v/>
      </c>
      <c r="S22" s="135" t="str">
        <f>IF(Q22="","",IF(Q21+Q22&lt;&gt;20,IF(Q21+Q22&lt;&gt;0,"!",""),""))</f>
        <v/>
      </c>
      <c r="T22" s="21" t="str">
        <f t="shared" si="2"/>
        <v/>
      </c>
      <c r="U22" s="132">
        <f>IF(D22="",0,VLOOKUP(D22,'Tournament Details'!$C:$X,22,FALSE))</f>
        <v>0</v>
      </c>
      <c r="V22" s="132">
        <f>IF(D22="",0,VLOOKUP(D22,'Tournament Details'!$C:$Y,23,FALSE))</f>
        <v>0</v>
      </c>
      <c r="W22" s="132">
        <f>IF(D22="",0,VLOOKUP(D22,'Tournament Details'!$C:$Z,24,FALSE))</f>
        <v>0</v>
      </c>
      <c r="X22" s="132">
        <f>IF(D22="",0,VLOOKUP(D22,'Tournament Details'!$C:$AA,25,FALSE))</f>
        <v>0</v>
      </c>
      <c r="Y22" s="40" t="str">
        <f>IF(D22="","",IF(COUNTIF(D:D,D22)&gt;1,"DUPLICATE PLAYER",IF(D21="","NO OPPONENT",IF(H22=H21,"SAME TEAM",""))))</f>
        <v/>
      </c>
    </row>
    <row r="23" spans="1:25" ht="15" customHeight="1" thickBot="1" x14ac:dyDescent="0.35">
      <c r="A23" s="224" t="str">
        <f>IF('Tournament Details'!A1&gt;=1,IF(LARGE('Tournament Details'!C7:C86,1)&gt;=22,11,""),"")</f>
        <v/>
      </c>
      <c r="B23" s="42">
        <f t="shared" si="3"/>
        <v>0</v>
      </c>
      <c r="C23" s="139" t="str">
        <f t="shared" si="4"/>
        <v/>
      </c>
      <c r="D23" s="140" t="str">
        <f>'Tournament Details'!C27</f>
        <v/>
      </c>
      <c r="E23" s="44" t="str">
        <f t="shared" si="5"/>
        <v/>
      </c>
      <c r="F23" s="44" t="str">
        <f t="shared" si="6"/>
        <v/>
      </c>
      <c r="G23" s="23" t="str">
        <f>D24</f>
        <v/>
      </c>
      <c r="H23" s="25" t="str">
        <f>IF(D23="","",IF(VLOOKUP(D23,'Tournament Details'!$C:$G,5,FALSE)="",D23,VLOOKUP(D23,'Tournament Details'!$C:$G,5,FALSE)))</f>
        <v/>
      </c>
      <c r="I23" s="7" t="str">
        <f>IF(D23=0,"",IF(VLOOKUP(D23,'Tournament Details'!$C:$E,3,FALSE)&gt;0,VLOOKUP(D23,'Tournament Details'!$C:$E,3,FALSE),""))</f>
        <v/>
      </c>
      <c r="J23" s="121"/>
      <c r="K23" s="121"/>
      <c r="L23" s="23"/>
      <c r="M23" s="23"/>
      <c r="N23" s="23"/>
      <c r="O23" s="23"/>
      <c r="P23" s="184">
        <v>0</v>
      </c>
      <c r="Q23" s="183">
        <f t="shared" si="0"/>
        <v>0</v>
      </c>
      <c r="R23" s="135" t="str">
        <f t="shared" si="1"/>
        <v/>
      </c>
      <c r="S23" s="135" t="str">
        <f>IF(Q23="","",IF(Q23+Q24&lt;&gt;20,IF(Q23+Q24&lt;&gt;0,"!",""),""))</f>
        <v/>
      </c>
      <c r="T23" s="21" t="str">
        <f t="shared" si="2"/>
        <v/>
      </c>
      <c r="U23" s="132">
        <f>IF(D23="",0,VLOOKUP(D23,'Tournament Details'!$C:$X,22,FALSE))</f>
        <v>0</v>
      </c>
      <c r="V23" s="132">
        <f>IF(D23="",0,VLOOKUP(D23,'Tournament Details'!$C:$Y,23,FALSE))</f>
        <v>0</v>
      </c>
      <c r="W23" s="132">
        <f>IF(D23="",0,VLOOKUP(D23,'Tournament Details'!$C:$Z,24,FALSE))</f>
        <v>0</v>
      </c>
      <c r="X23" s="132">
        <f>IF(D23="",0,VLOOKUP(D23,'Tournament Details'!$C:$AA,25,FALSE))</f>
        <v>0</v>
      </c>
      <c r="Y23" s="40" t="str">
        <f>IF(D23="","",IF(COUNTIF(D:D,D23)&gt;1,"DUPLICATE PLAYER",IF(D24="","NO OPPONENT",IF(H23=H24,"SAME TEAM",""))))</f>
        <v/>
      </c>
    </row>
    <row r="24" spans="1:25" ht="15" customHeight="1" thickBot="1" x14ac:dyDescent="0.35">
      <c r="A24" s="224"/>
      <c r="B24" s="43">
        <f t="shared" si="3"/>
        <v>0</v>
      </c>
      <c r="C24" s="139" t="str">
        <f t="shared" si="4"/>
        <v/>
      </c>
      <c r="D24" s="141" t="str">
        <f>'Tournament Details'!C28</f>
        <v/>
      </c>
      <c r="E24" s="142" t="str">
        <f t="shared" si="5"/>
        <v/>
      </c>
      <c r="F24" s="142" t="str">
        <f t="shared" si="6"/>
        <v/>
      </c>
      <c r="G24" s="24" t="str">
        <f>D23</f>
        <v/>
      </c>
      <c r="H24" s="26" t="str">
        <f>IF(D24="","",IF(VLOOKUP(D24,'Tournament Details'!$C:$G,5,FALSE)="",D24,VLOOKUP(D24,'Tournament Details'!$C:$G,5,FALSE)))</f>
        <v/>
      </c>
      <c r="I24" s="12" t="str">
        <f>IF(D24=0,"",IF(VLOOKUP(D24,'Tournament Details'!$C:$E,3,FALSE)&gt;0,VLOOKUP(D24,'Tournament Details'!$C:$E,3,FALSE),""))</f>
        <v/>
      </c>
      <c r="J24" s="122"/>
      <c r="K24" s="122"/>
      <c r="L24" s="23"/>
      <c r="M24" s="24"/>
      <c r="N24" s="24"/>
      <c r="O24" s="24"/>
      <c r="P24" s="185">
        <v>0</v>
      </c>
      <c r="Q24" s="183">
        <f t="shared" si="0"/>
        <v>0</v>
      </c>
      <c r="R24" s="135" t="str">
        <f t="shared" si="1"/>
        <v/>
      </c>
      <c r="S24" s="135" t="str">
        <f>IF(Q24="","",IF(Q23+Q24&lt;&gt;20,IF(Q23+Q24&lt;&gt;0,"!",""),""))</f>
        <v/>
      </c>
      <c r="T24" s="21" t="str">
        <f t="shared" si="2"/>
        <v/>
      </c>
      <c r="U24" s="132">
        <f>IF(D24="",0,VLOOKUP(D24,'Tournament Details'!$C:$X,22,FALSE))</f>
        <v>0</v>
      </c>
      <c r="V24" s="132">
        <f>IF(D24="",0,VLOOKUP(D24,'Tournament Details'!$C:$Y,23,FALSE))</f>
        <v>0</v>
      </c>
      <c r="W24" s="132">
        <f>IF(D24="",0,VLOOKUP(D24,'Tournament Details'!$C:$Z,24,FALSE))</f>
        <v>0</v>
      </c>
      <c r="X24" s="132">
        <f>IF(D24="",0,VLOOKUP(D24,'Tournament Details'!$C:$AA,25,FALSE))</f>
        <v>0</v>
      </c>
      <c r="Y24" s="40" t="str">
        <f>IF(D24="","",IF(COUNTIF(D:D,D24)&gt;1,"DUPLICATE PLAYER",IF(D23="","NO OPPONENT",IF(H24=H23,"SAME TEAM",""))))</f>
        <v/>
      </c>
    </row>
    <row r="25" spans="1:25" ht="15" customHeight="1" thickBot="1" x14ac:dyDescent="0.35">
      <c r="A25" s="224" t="str">
        <f>IF('Tournament Details'!A1&gt;=1,IF(LARGE('Tournament Details'!C7:C86,1)&gt;=24,12,""),"")</f>
        <v/>
      </c>
      <c r="B25" s="42">
        <f t="shared" si="3"/>
        <v>0</v>
      </c>
      <c r="C25" s="139" t="str">
        <f t="shared" si="4"/>
        <v/>
      </c>
      <c r="D25" s="140" t="str">
        <f>'Tournament Details'!C29</f>
        <v/>
      </c>
      <c r="E25" s="44" t="str">
        <f t="shared" si="5"/>
        <v/>
      </c>
      <c r="F25" s="44" t="str">
        <f t="shared" si="6"/>
        <v/>
      </c>
      <c r="G25" s="23" t="str">
        <f>D26</f>
        <v/>
      </c>
      <c r="H25" s="25" t="str">
        <f>IF(D25="","",IF(VLOOKUP(D25,'Tournament Details'!$C:$G,5,FALSE)="",D25,VLOOKUP(D25,'Tournament Details'!$C:$G,5,FALSE)))</f>
        <v/>
      </c>
      <c r="I25" s="7" t="str">
        <f>IF(D25=0,"",IF(VLOOKUP(D25,'Tournament Details'!$C:$E,3,FALSE)&gt;0,VLOOKUP(D25,'Tournament Details'!$C:$E,3,FALSE),""))</f>
        <v/>
      </c>
      <c r="J25" s="121"/>
      <c r="K25" s="121"/>
      <c r="L25" s="23"/>
      <c r="M25" s="23"/>
      <c r="N25" s="23"/>
      <c r="O25" s="23"/>
      <c r="P25" s="184">
        <v>0</v>
      </c>
      <c r="Q25" s="183">
        <f t="shared" si="0"/>
        <v>0</v>
      </c>
      <c r="R25" s="135" t="str">
        <f t="shared" si="1"/>
        <v/>
      </c>
      <c r="S25" s="135" t="str">
        <f>IF(Q25="","",IF(Q25+Q26&lt;&gt;20,IF(Q25+Q26&lt;&gt;0,"!",""),""))</f>
        <v/>
      </c>
      <c r="T25" s="21" t="str">
        <f t="shared" si="2"/>
        <v/>
      </c>
      <c r="U25" s="132">
        <f>IF(D25="",0,VLOOKUP(D25,'Tournament Details'!$C:$X,22,FALSE))</f>
        <v>0</v>
      </c>
      <c r="V25" s="132">
        <f>IF(D25="",0,VLOOKUP(D25,'Tournament Details'!$C:$Y,23,FALSE))</f>
        <v>0</v>
      </c>
      <c r="W25" s="132">
        <f>IF(D25="",0,VLOOKUP(D25,'Tournament Details'!$C:$Z,24,FALSE))</f>
        <v>0</v>
      </c>
      <c r="X25" s="132">
        <f>IF(D25="",0,VLOOKUP(D25,'Tournament Details'!$C:$AA,25,FALSE))</f>
        <v>0</v>
      </c>
      <c r="Y25" s="40" t="str">
        <f>IF(D25="","",IF(COUNTIF(D:D,D25)&gt;1,"DUPLICATE PLAYER",IF(D26="","NO OPPONENT",IF(H25=H26,"SAME TEAM",""))))</f>
        <v/>
      </c>
    </row>
    <row r="26" spans="1:25" ht="15" customHeight="1" thickBot="1" x14ac:dyDescent="0.35">
      <c r="A26" s="224"/>
      <c r="B26" s="43">
        <f t="shared" si="3"/>
        <v>0</v>
      </c>
      <c r="C26" s="139" t="str">
        <f t="shared" si="4"/>
        <v/>
      </c>
      <c r="D26" s="141" t="str">
        <f>'Tournament Details'!C30</f>
        <v/>
      </c>
      <c r="E26" s="142" t="str">
        <f t="shared" si="5"/>
        <v/>
      </c>
      <c r="F26" s="142" t="str">
        <f t="shared" si="6"/>
        <v/>
      </c>
      <c r="G26" s="24" t="str">
        <f>D25</f>
        <v/>
      </c>
      <c r="H26" s="26" t="str">
        <f>IF(D26="","",IF(VLOOKUP(D26,'Tournament Details'!$C:$G,5,FALSE)="",D26,VLOOKUP(D26,'Tournament Details'!$C:$G,5,FALSE)))</f>
        <v/>
      </c>
      <c r="I26" s="12" t="str">
        <f>IF(D26=0,"",IF(VLOOKUP(D26,'Tournament Details'!$C:$E,3,FALSE)&gt;0,VLOOKUP(D26,'Tournament Details'!$C:$E,3,FALSE),""))</f>
        <v/>
      </c>
      <c r="J26" s="122"/>
      <c r="K26" s="122"/>
      <c r="L26" s="23"/>
      <c r="M26" s="24"/>
      <c r="N26" s="24"/>
      <c r="O26" s="24"/>
      <c r="P26" s="185">
        <v>0</v>
      </c>
      <c r="Q26" s="183">
        <f t="shared" si="0"/>
        <v>0</v>
      </c>
      <c r="R26" s="135" t="str">
        <f t="shared" si="1"/>
        <v/>
      </c>
      <c r="S26" s="135" t="str">
        <f>IF(Q26="","",IF(Q25+Q26&lt;&gt;20,IF(Q25+Q26&lt;&gt;0,"!",""),""))</f>
        <v/>
      </c>
      <c r="T26" s="21" t="str">
        <f t="shared" si="2"/>
        <v/>
      </c>
      <c r="U26" s="132">
        <f>IF(D26="",0,VLOOKUP(D26,'Tournament Details'!$C:$X,22,FALSE))</f>
        <v>0</v>
      </c>
      <c r="V26" s="132">
        <f>IF(D26="",0,VLOOKUP(D26,'Tournament Details'!$C:$Y,23,FALSE))</f>
        <v>0</v>
      </c>
      <c r="W26" s="132">
        <f>IF(D26="",0,VLOOKUP(D26,'Tournament Details'!$C:$Z,24,FALSE))</f>
        <v>0</v>
      </c>
      <c r="X26" s="132">
        <f>IF(D26="",0,VLOOKUP(D26,'Tournament Details'!$C:$AA,25,FALSE))</f>
        <v>0</v>
      </c>
      <c r="Y26" s="40" t="str">
        <f>IF(D26="","",IF(COUNTIF(D:D,D26)&gt;1,"DUPLICATE PLAYER",IF(D25="","NO OPPONENT",IF(H26=H25,"SAME TEAM",""))))</f>
        <v/>
      </c>
    </row>
    <row r="27" spans="1:25" ht="15" customHeight="1" thickBot="1" x14ac:dyDescent="0.35">
      <c r="A27" s="224" t="str">
        <f>IF('Tournament Details'!A1&gt;=1,IF(LARGE('Tournament Details'!C7:C86,1)&gt;=26,13,""),"")</f>
        <v/>
      </c>
      <c r="B27" s="42">
        <f t="shared" si="3"/>
        <v>0</v>
      </c>
      <c r="C27" s="139" t="str">
        <f t="shared" si="4"/>
        <v/>
      </c>
      <c r="D27" s="140" t="str">
        <f>'Tournament Details'!C31</f>
        <v/>
      </c>
      <c r="E27" s="44" t="str">
        <f t="shared" si="5"/>
        <v/>
      </c>
      <c r="F27" s="44" t="str">
        <f t="shared" si="6"/>
        <v/>
      </c>
      <c r="G27" s="23" t="str">
        <f>D28</f>
        <v/>
      </c>
      <c r="H27" s="25" t="str">
        <f>IF(D27="","",IF(VLOOKUP(D27,'Tournament Details'!$C:$G,5,FALSE)="",D27,VLOOKUP(D27,'Tournament Details'!$C:$G,5,FALSE)))</f>
        <v/>
      </c>
      <c r="I27" s="7" t="str">
        <f>IF(D27=0,"",IF(VLOOKUP(D27,'Tournament Details'!$C:$E,3,FALSE)&gt;0,VLOOKUP(D27,'Tournament Details'!$C:$E,3,FALSE),""))</f>
        <v/>
      </c>
      <c r="J27" s="121"/>
      <c r="K27" s="121"/>
      <c r="L27" s="23"/>
      <c r="M27" s="23"/>
      <c r="N27" s="23"/>
      <c r="O27" s="23"/>
      <c r="P27" s="184">
        <v>0</v>
      </c>
      <c r="Q27" s="183">
        <f t="shared" si="0"/>
        <v>0</v>
      </c>
      <c r="R27" s="135" t="str">
        <f t="shared" si="1"/>
        <v/>
      </c>
      <c r="S27" s="135" t="str">
        <f>IF(Q27="","",IF(Q27+Q28&lt;&gt;20,IF(Q27+Q28&lt;&gt;0,"!",""),""))</f>
        <v/>
      </c>
      <c r="T27" s="21" t="str">
        <f t="shared" si="2"/>
        <v/>
      </c>
      <c r="U27" s="132">
        <f>IF(D27="",0,VLOOKUP(D27,'Tournament Details'!$C:$X,22,FALSE))</f>
        <v>0</v>
      </c>
      <c r="V27" s="132">
        <f>IF(D27="",0,VLOOKUP(D27,'Tournament Details'!$C:$Y,23,FALSE))</f>
        <v>0</v>
      </c>
      <c r="W27" s="132">
        <f>IF(D27="",0,VLOOKUP(D27,'Tournament Details'!$C:$Z,24,FALSE))</f>
        <v>0</v>
      </c>
      <c r="X27" s="132">
        <f>IF(D27="",0,VLOOKUP(D27,'Tournament Details'!$C:$AA,25,FALSE))</f>
        <v>0</v>
      </c>
      <c r="Y27" s="40" t="str">
        <f>IF(D27="","",IF(COUNTIF(D:D,D27)&gt;1,"DUPLICATE PLAYER",IF(D28="","NO OPPONENT",IF(H27=H28,"SAME TEAM",""))))</f>
        <v/>
      </c>
    </row>
    <row r="28" spans="1:25" ht="15" customHeight="1" thickBot="1" x14ac:dyDescent="0.35">
      <c r="A28" s="224"/>
      <c r="B28" s="43">
        <f t="shared" si="3"/>
        <v>0</v>
      </c>
      <c r="C28" s="139" t="str">
        <f t="shared" si="4"/>
        <v/>
      </c>
      <c r="D28" s="141" t="str">
        <f>'Tournament Details'!C32</f>
        <v/>
      </c>
      <c r="E28" s="142" t="str">
        <f t="shared" si="5"/>
        <v/>
      </c>
      <c r="F28" s="142" t="str">
        <f t="shared" si="6"/>
        <v/>
      </c>
      <c r="G28" s="24" t="str">
        <f>D27</f>
        <v/>
      </c>
      <c r="H28" s="26" t="str">
        <f>IF(D28="","",IF(VLOOKUP(D28,'Tournament Details'!$C:$G,5,FALSE)="",D28,VLOOKUP(D28,'Tournament Details'!$C:$G,5,FALSE)))</f>
        <v/>
      </c>
      <c r="I28" s="12" t="str">
        <f>IF(D28=0,"",IF(VLOOKUP(D28,'Tournament Details'!$C:$E,3,FALSE)&gt;0,VLOOKUP(D28,'Tournament Details'!$C:$E,3,FALSE),""))</f>
        <v/>
      </c>
      <c r="J28" s="122"/>
      <c r="K28" s="122"/>
      <c r="L28" s="23"/>
      <c r="M28" s="24"/>
      <c r="N28" s="24"/>
      <c r="O28" s="24"/>
      <c r="P28" s="185">
        <v>0</v>
      </c>
      <c r="Q28" s="183">
        <f t="shared" si="0"/>
        <v>0</v>
      </c>
      <c r="R28" s="135" t="str">
        <f t="shared" si="1"/>
        <v/>
      </c>
      <c r="S28" s="135" t="str">
        <f>IF(Q28="","",IF(Q27+Q28&lt;&gt;20,IF(Q27+Q28&lt;&gt;0,"!",""),""))</f>
        <v/>
      </c>
      <c r="T28" s="21" t="str">
        <f t="shared" si="2"/>
        <v/>
      </c>
      <c r="U28" s="132">
        <f>IF(D28="",0,VLOOKUP(D28,'Tournament Details'!$C:$X,22,FALSE))</f>
        <v>0</v>
      </c>
      <c r="V28" s="132">
        <f>IF(D28="",0,VLOOKUP(D28,'Tournament Details'!$C:$Y,23,FALSE))</f>
        <v>0</v>
      </c>
      <c r="W28" s="132">
        <f>IF(D28="",0,VLOOKUP(D28,'Tournament Details'!$C:$Z,24,FALSE))</f>
        <v>0</v>
      </c>
      <c r="X28" s="132">
        <f>IF(D28="",0,VLOOKUP(D28,'Tournament Details'!$C:$AA,25,FALSE))</f>
        <v>0</v>
      </c>
      <c r="Y28" s="40" t="str">
        <f>IF(D28="","",IF(COUNTIF(D:D,D28)&gt;1,"DUPLICATE PLAYER",IF(D27="","NO OPPONENT",IF(H28=H27,"SAME TEAM",""))))</f>
        <v/>
      </c>
    </row>
    <row r="29" spans="1:25" ht="15" customHeight="1" thickBot="1" x14ac:dyDescent="0.35">
      <c r="A29" s="224" t="str">
        <f>IF('Tournament Details'!A1&gt;=1,IF(LARGE('Tournament Details'!C7:C86,1)&gt;=28,14,""),"")</f>
        <v/>
      </c>
      <c r="B29" s="42">
        <f t="shared" si="3"/>
        <v>0</v>
      </c>
      <c r="C29" s="139" t="str">
        <f t="shared" si="4"/>
        <v/>
      </c>
      <c r="D29" s="140" t="str">
        <f>'Tournament Details'!C33</f>
        <v/>
      </c>
      <c r="E29" s="44" t="str">
        <f t="shared" si="5"/>
        <v/>
      </c>
      <c r="F29" s="44" t="str">
        <f t="shared" si="6"/>
        <v/>
      </c>
      <c r="G29" s="23" t="str">
        <f>D30</f>
        <v/>
      </c>
      <c r="H29" s="25" t="str">
        <f>IF(D29="","",IF(VLOOKUP(D29,'Tournament Details'!$C:$G,5,FALSE)="",D29,VLOOKUP(D29,'Tournament Details'!$C:$G,5,FALSE)))</f>
        <v/>
      </c>
      <c r="I29" s="7" t="str">
        <f>IF(D29=0,"",IF(VLOOKUP(D29,'Tournament Details'!$C:$E,3,FALSE)&gt;0,VLOOKUP(D29,'Tournament Details'!$C:$E,3,FALSE),""))</f>
        <v/>
      </c>
      <c r="J29" s="121"/>
      <c r="K29" s="121"/>
      <c r="L29" s="23"/>
      <c r="M29" s="23"/>
      <c r="N29" s="23"/>
      <c r="O29" s="23"/>
      <c r="P29" s="184">
        <v>0</v>
      </c>
      <c r="Q29" s="183">
        <f t="shared" si="0"/>
        <v>0</v>
      </c>
      <c r="R29" s="135" t="str">
        <f t="shared" si="1"/>
        <v/>
      </c>
      <c r="S29" s="135" t="str">
        <f>IF(Q29="","",IF(Q29+Q30&lt;&gt;20,IF(Q29+Q30&lt;&gt;0,"!",""),""))</f>
        <v/>
      </c>
      <c r="T29" s="21" t="str">
        <f t="shared" si="2"/>
        <v/>
      </c>
      <c r="U29" s="132">
        <f>IF(D29="",0,VLOOKUP(D29,'Tournament Details'!$C:$X,22,FALSE))</f>
        <v>0</v>
      </c>
      <c r="V29" s="132">
        <f>IF(D29="",0,VLOOKUP(D29,'Tournament Details'!$C:$Y,23,FALSE))</f>
        <v>0</v>
      </c>
      <c r="W29" s="132">
        <f>IF(D29="",0,VLOOKUP(D29,'Tournament Details'!$C:$Z,24,FALSE))</f>
        <v>0</v>
      </c>
      <c r="X29" s="132">
        <f>IF(D29="",0,VLOOKUP(D29,'Tournament Details'!$C:$AA,25,FALSE))</f>
        <v>0</v>
      </c>
      <c r="Y29" s="40" t="str">
        <f>IF(D29="","",IF(COUNTIF(D:D,D29)&gt;1,"DUPLICATE PLAYER",IF(D30="","NO OPPONENT",IF(H29=H30,"SAME TEAM",""))))</f>
        <v/>
      </c>
    </row>
    <row r="30" spans="1:25" ht="15" customHeight="1" thickBot="1" x14ac:dyDescent="0.35">
      <c r="A30" s="224"/>
      <c r="B30" s="43">
        <f t="shared" si="3"/>
        <v>0</v>
      </c>
      <c r="C30" s="139" t="str">
        <f t="shared" si="4"/>
        <v/>
      </c>
      <c r="D30" s="141" t="str">
        <f>'Tournament Details'!C34</f>
        <v/>
      </c>
      <c r="E30" s="142" t="str">
        <f t="shared" si="5"/>
        <v/>
      </c>
      <c r="F30" s="142" t="str">
        <f t="shared" si="6"/>
        <v/>
      </c>
      <c r="G30" s="24" t="str">
        <f>D29</f>
        <v/>
      </c>
      <c r="H30" s="26" t="str">
        <f>IF(D30="","",IF(VLOOKUP(D30,'Tournament Details'!$C:$G,5,FALSE)="",D30,VLOOKUP(D30,'Tournament Details'!$C:$G,5,FALSE)))</f>
        <v/>
      </c>
      <c r="I30" s="12" t="str">
        <f>IF(D30=0,"",IF(VLOOKUP(D30,'Tournament Details'!$C:$E,3,FALSE)&gt;0,VLOOKUP(D30,'Tournament Details'!$C:$E,3,FALSE),""))</f>
        <v/>
      </c>
      <c r="J30" s="122"/>
      <c r="K30" s="122"/>
      <c r="L30" s="23"/>
      <c r="M30" s="24"/>
      <c r="N30" s="24"/>
      <c r="O30" s="24"/>
      <c r="P30" s="185">
        <v>0</v>
      </c>
      <c r="Q30" s="183">
        <f t="shared" si="0"/>
        <v>0</v>
      </c>
      <c r="R30" s="135" t="str">
        <f t="shared" si="1"/>
        <v/>
      </c>
      <c r="S30" s="135" t="str">
        <f>IF(Q30="","",IF(Q29+Q30&lt;&gt;20,IF(Q29+Q30&lt;&gt;0,"!",""),""))</f>
        <v/>
      </c>
      <c r="T30" s="21" t="str">
        <f t="shared" si="2"/>
        <v/>
      </c>
      <c r="U30" s="132">
        <f>IF(D30="",0,VLOOKUP(D30,'Tournament Details'!$C:$X,22,FALSE))</f>
        <v>0</v>
      </c>
      <c r="V30" s="132">
        <f>IF(D30="",0,VLOOKUP(D30,'Tournament Details'!$C:$Y,23,FALSE))</f>
        <v>0</v>
      </c>
      <c r="W30" s="132">
        <f>IF(D30="",0,VLOOKUP(D30,'Tournament Details'!$C:$Z,24,FALSE))</f>
        <v>0</v>
      </c>
      <c r="X30" s="132">
        <f>IF(D30="",0,VLOOKUP(D30,'Tournament Details'!$C:$AA,25,FALSE))</f>
        <v>0</v>
      </c>
      <c r="Y30" s="40" t="str">
        <f>IF(D30="","",IF(COUNTIF(D:D,D30)&gt;1,"DUPLICATE PLAYER",IF(D29="","NO OPPONENT",IF(H30=H29,"SAME TEAM",""))))</f>
        <v/>
      </c>
    </row>
    <row r="31" spans="1:25" ht="15" customHeight="1" thickBot="1" x14ac:dyDescent="0.35">
      <c r="A31" s="224" t="str">
        <f>IF('Tournament Details'!A1&gt;=1,IF(LARGE('Tournament Details'!C7:C86,1)&gt;=30,15,""),"")</f>
        <v/>
      </c>
      <c r="B31" s="42">
        <f t="shared" si="3"/>
        <v>0</v>
      </c>
      <c r="C31" s="139" t="str">
        <f t="shared" si="4"/>
        <v/>
      </c>
      <c r="D31" s="140" t="str">
        <f>'Tournament Details'!C35</f>
        <v/>
      </c>
      <c r="E31" s="44" t="str">
        <f t="shared" si="5"/>
        <v/>
      </c>
      <c r="F31" s="44" t="str">
        <f t="shared" si="6"/>
        <v/>
      </c>
      <c r="G31" s="23" t="str">
        <f>D32</f>
        <v/>
      </c>
      <c r="H31" s="25" t="str">
        <f>IF(D31="","",IF(VLOOKUP(D31,'Tournament Details'!$C:$G,5,FALSE)="",D31,VLOOKUP(D31,'Tournament Details'!$C:$G,5,FALSE)))</f>
        <v/>
      </c>
      <c r="I31" s="7" t="str">
        <f>IF(D31=0,"",IF(VLOOKUP(D31,'Tournament Details'!$C:$E,3,FALSE)&gt;0,VLOOKUP(D31,'Tournament Details'!$C:$E,3,FALSE),""))</f>
        <v/>
      </c>
      <c r="J31" s="121"/>
      <c r="K31" s="121"/>
      <c r="L31" s="23"/>
      <c r="M31" s="23"/>
      <c r="N31" s="23"/>
      <c r="O31" s="23"/>
      <c r="P31" s="184">
        <v>0</v>
      </c>
      <c r="Q31" s="183">
        <f t="shared" si="0"/>
        <v>0</v>
      </c>
      <c r="R31" s="135" t="str">
        <f t="shared" si="1"/>
        <v/>
      </c>
      <c r="S31" s="135" t="str">
        <f>IF(Q31="","",IF(Q31+Q32&lt;&gt;20,IF(Q31+Q32&lt;&gt;0,"!",""),""))</f>
        <v/>
      </c>
      <c r="T31" s="21" t="str">
        <f t="shared" si="2"/>
        <v/>
      </c>
      <c r="U31" s="132">
        <f>IF(D31="",0,VLOOKUP(D31,'Tournament Details'!$C:$X,22,FALSE))</f>
        <v>0</v>
      </c>
      <c r="V31" s="132">
        <f>IF(D31="",0,VLOOKUP(D31,'Tournament Details'!$C:$Y,23,FALSE))</f>
        <v>0</v>
      </c>
      <c r="W31" s="132">
        <f>IF(D31="",0,VLOOKUP(D31,'Tournament Details'!$C:$Z,24,FALSE))</f>
        <v>0</v>
      </c>
      <c r="X31" s="132">
        <f>IF(D31="",0,VLOOKUP(D31,'Tournament Details'!$C:$AA,25,FALSE))</f>
        <v>0</v>
      </c>
      <c r="Y31" s="40" t="str">
        <f>IF(D31="","",IF(COUNTIF(D:D,D31)&gt;1,"DUPLICATE PLAYER",IF(D32="","NO OPPONENT",IF(H31=H32,"SAME TEAM",""))))</f>
        <v/>
      </c>
    </row>
    <row r="32" spans="1:25" ht="15" customHeight="1" thickBot="1" x14ac:dyDescent="0.35">
      <c r="A32" s="224"/>
      <c r="B32" s="43">
        <f t="shared" si="3"/>
        <v>0</v>
      </c>
      <c r="C32" s="139" t="str">
        <f t="shared" si="4"/>
        <v/>
      </c>
      <c r="D32" s="141" t="str">
        <f>'Tournament Details'!C36</f>
        <v/>
      </c>
      <c r="E32" s="142" t="str">
        <f t="shared" si="5"/>
        <v/>
      </c>
      <c r="F32" s="142" t="str">
        <f t="shared" si="6"/>
        <v/>
      </c>
      <c r="G32" s="24" t="str">
        <f>D31</f>
        <v/>
      </c>
      <c r="H32" s="26" t="str">
        <f>IF(D32="","",IF(VLOOKUP(D32,'Tournament Details'!$C:$G,5,FALSE)="",D32,VLOOKUP(D32,'Tournament Details'!$C:$G,5,FALSE)))</f>
        <v/>
      </c>
      <c r="I32" s="12" t="str">
        <f>IF(D32=0,"",IF(VLOOKUP(D32,'Tournament Details'!$C:$E,3,FALSE)&gt;0,VLOOKUP(D32,'Tournament Details'!$C:$E,3,FALSE),""))</f>
        <v/>
      </c>
      <c r="J32" s="122"/>
      <c r="K32" s="122"/>
      <c r="L32" s="23"/>
      <c r="M32" s="24"/>
      <c r="N32" s="24"/>
      <c r="O32" s="24"/>
      <c r="P32" s="185">
        <v>0</v>
      </c>
      <c r="Q32" s="183">
        <f t="shared" si="0"/>
        <v>0</v>
      </c>
      <c r="R32" s="135" t="str">
        <f t="shared" si="1"/>
        <v/>
      </c>
      <c r="S32" s="135" t="str">
        <f>IF(Q32="","",IF(Q31+Q32&lt;&gt;20,IF(Q31+Q32&lt;&gt;0,"!",""),""))</f>
        <v/>
      </c>
      <c r="T32" s="21" t="str">
        <f t="shared" si="2"/>
        <v/>
      </c>
      <c r="U32" s="132">
        <f>IF(D32="",0,VLOOKUP(D32,'Tournament Details'!$C:$X,22,FALSE))</f>
        <v>0</v>
      </c>
      <c r="V32" s="132">
        <f>IF(D32="",0,VLOOKUP(D32,'Tournament Details'!$C:$Y,23,FALSE))</f>
        <v>0</v>
      </c>
      <c r="W32" s="132">
        <f>IF(D32="",0,VLOOKUP(D32,'Tournament Details'!$C:$Z,24,FALSE))</f>
        <v>0</v>
      </c>
      <c r="X32" s="132">
        <f>IF(D32="",0,VLOOKUP(D32,'Tournament Details'!$C:$AA,25,FALSE))</f>
        <v>0</v>
      </c>
      <c r="Y32" s="40" t="str">
        <f>IF(D32="","",IF(COUNTIF(D:D,D32)&gt;1,"DUPLICATE PLAYER",IF(D31="","NO OPPONENT",IF(H32=H31,"SAME TEAM",""))))</f>
        <v/>
      </c>
    </row>
    <row r="33" spans="1:25" ht="15" customHeight="1" thickBot="1" x14ac:dyDescent="0.35">
      <c r="A33" s="224" t="str">
        <f>IF('Tournament Details'!A1&gt;=1,IF(LARGE('Tournament Details'!C7:C86,1)&gt;=32,16,""),"")</f>
        <v/>
      </c>
      <c r="B33" s="42">
        <f t="shared" si="3"/>
        <v>0</v>
      </c>
      <c r="C33" s="139" t="str">
        <f t="shared" si="4"/>
        <v/>
      </c>
      <c r="D33" s="140" t="str">
        <f>'Tournament Details'!C37</f>
        <v/>
      </c>
      <c r="E33" s="44" t="str">
        <f t="shared" si="5"/>
        <v/>
      </c>
      <c r="F33" s="44" t="str">
        <f t="shared" si="6"/>
        <v/>
      </c>
      <c r="G33" s="23" t="str">
        <f>D34</f>
        <v/>
      </c>
      <c r="H33" s="25" t="str">
        <f>IF(D33="","",IF(VLOOKUP(D33,'Tournament Details'!$C:$G,5,FALSE)="",D33,VLOOKUP(D33,'Tournament Details'!$C:$G,5,FALSE)))</f>
        <v/>
      </c>
      <c r="I33" s="7" t="str">
        <f>IF(D33=0,"",IF(VLOOKUP(D33,'Tournament Details'!$C:$E,3,FALSE)&gt;0,VLOOKUP(D33,'Tournament Details'!$C:$E,3,FALSE),""))</f>
        <v/>
      </c>
      <c r="J33" s="121"/>
      <c r="K33" s="121"/>
      <c r="L33" s="23"/>
      <c r="M33" s="23"/>
      <c r="N33" s="23"/>
      <c r="O33" s="23"/>
      <c r="P33" s="184">
        <v>0</v>
      </c>
      <c r="Q33" s="183">
        <f t="shared" si="0"/>
        <v>0</v>
      </c>
      <c r="R33" s="135" t="str">
        <f t="shared" si="1"/>
        <v/>
      </c>
      <c r="S33" s="135" t="str">
        <f>IF(Q33="","",IF(Q33+Q34&lt;&gt;20,IF(Q33+Q34&lt;&gt;0,"!",""),""))</f>
        <v/>
      </c>
      <c r="T33" s="21" t="str">
        <f t="shared" si="2"/>
        <v/>
      </c>
      <c r="U33" s="132">
        <f>IF(D33="",0,VLOOKUP(D33,'Tournament Details'!$C:$X,22,FALSE))</f>
        <v>0</v>
      </c>
      <c r="V33" s="132">
        <f>IF(D33="",0,VLOOKUP(D33,'Tournament Details'!$C:$Y,23,FALSE))</f>
        <v>0</v>
      </c>
      <c r="W33" s="132">
        <f>IF(D33="",0,VLOOKUP(D33,'Tournament Details'!$C:$Z,24,FALSE))</f>
        <v>0</v>
      </c>
      <c r="X33" s="132">
        <f>IF(D33="",0,VLOOKUP(D33,'Tournament Details'!$C:$AA,25,FALSE))</f>
        <v>0</v>
      </c>
      <c r="Y33" s="40" t="str">
        <f>IF(D33="","",IF(COUNTIF(D:D,D33)&gt;1,"DUPLICATE PLAYER",IF(D34="","NO OPPONENT",IF(H33=H34,"SAME TEAM",""))))</f>
        <v/>
      </c>
    </row>
    <row r="34" spans="1:25" ht="15" customHeight="1" thickBot="1" x14ac:dyDescent="0.35">
      <c r="A34" s="224"/>
      <c r="B34" s="43">
        <f t="shared" si="3"/>
        <v>0</v>
      </c>
      <c r="C34" s="139" t="str">
        <f t="shared" si="4"/>
        <v/>
      </c>
      <c r="D34" s="141" t="str">
        <f>'Tournament Details'!C38</f>
        <v/>
      </c>
      <c r="E34" s="142" t="str">
        <f t="shared" si="5"/>
        <v/>
      </c>
      <c r="F34" s="142" t="str">
        <f t="shared" si="6"/>
        <v/>
      </c>
      <c r="G34" s="24" t="str">
        <f>D33</f>
        <v/>
      </c>
      <c r="H34" s="26" t="str">
        <f>IF(D34="","",IF(VLOOKUP(D34,'Tournament Details'!$C:$G,5,FALSE)="",D34,VLOOKUP(D34,'Tournament Details'!$C:$G,5,FALSE)))</f>
        <v/>
      </c>
      <c r="I34" s="12" t="str">
        <f>IF(D34=0,"",IF(VLOOKUP(D34,'Tournament Details'!$C:$E,3,FALSE)&gt;0,VLOOKUP(D34,'Tournament Details'!$C:$E,3,FALSE),""))</f>
        <v/>
      </c>
      <c r="J34" s="122"/>
      <c r="K34" s="122"/>
      <c r="L34" s="23"/>
      <c r="M34" s="24"/>
      <c r="N34" s="24"/>
      <c r="O34" s="24"/>
      <c r="P34" s="185">
        <v>0</v>
      </c>
      <c r="Q34" s="183">
        <f t="shared" si="0"/>
        <v>0</v>
      </c>
      <c r="R34" s="135" t="str">
        <f t="shared" si="1"/>
        <v/>
      </c>
      <c r="S34" s="135" t="str">
        <f>IF(Q34="","",IF(Q33+Q34&lt;&gt;20,IF(Q33+Q34&lt;&gt;0,"!",""),""))</f>
        <v/>
      </c>
      <c r="T34" s="21" t="str">
        <f t="shared" si="2"/>
        <v/>
      </c>
      <c r="U34" s="132">
        <f>IF(D34="",0,VLOOKUP(D34,'Tournament Details'!$C:$X,22,FALSE))</f>
        <v>0</v>
      </c>
      <c r="V34" s="132">
        <f>IF(D34="",0,VLOOKUP(D34,'Tournament Details'!$C:$Y,23,FALSE))</f>
        <v>0</v>
      </c>
      <c r="W34" s="132">
        <f>IF(D34="",0,VLOOKUP(D34,'Tournament Details'!$C:$Z,24,FALSE))</f>
        <v>0</v>
      </c>
      <c r="X34" s="132">
        <f>IF(D34="",0,VLOOKUP(D34,'Tournament Details'!$C:$AA,25,FALSE))</f>
        <v>0</v>
      </c>
      <c r="Y34" s="40" t="str">
        <f>IF(D34="","",IF(COUNTIF(D:D,D34)&gt;1,"DUPLICATE PLAYER",IF(D33="","NO OPPONENT",IF(H34=H33,"SAME TEAM",""))))</f>
        <v/>
      </c>
    </row>
    <row r="35" spans="1:25" ht="15" customHeight="1" thickBot="1" x14ac:dyDescent="0.35">
      <c r="A35" s="224" t="str">
        <f>IF('Tournament Details'!A1&gt;=1,IF(LARGE('Tournament Details'!C7:C86,1)&gt;=34,17,""),"")</f>
        <v/>
      </c>
      <c r="B35" s="42">
        <f t="shared" si="3"/>
        <v>0</v>
      </c>
      <c r="C35" s="139" t="str">
        <f t="shared" si="4"/>
        <v/>
      </c>
      <c r="D35" s="140" t="str">
        <f>'Tournament Details'!C39</f>
        <v/>
      </c>
      <c r="E35" s="44" t="str">
        <f t="shared" si="5"/>
        <v/>
      </c>
      <c r="F35" s="44" t="str">
        <f t="shared" si="6"/>
        <v/>
      </c>
      <c r="G35" s="23" t="str">
        <f>D36</f>
        <v/>
      </c>
      <c r="H35" s="25" t="str">
        <f>IF(D35="","",IF(VLOOKUP(D35,'Tournament Details'!$C:$G,5,FALSE)="",D35,VLOOKUP(D35,'Tournament Details'!$C:$G,5,FALSE)))</f>
        <v/>
      </c>
      <c r="I35" s="7" t="str">
        <f>IF(D35=0,"",IF(VLOOKUP(D35,'Tournament Details'!$C:$E,3,FALSE)&gt;0,VLOOKUP(D35,'Tournament Details'!$C:$E,3,FALSE),""))</f>
        <v/>
      </c>
      <c r="J35" s="121"/>
      <c r="K35" s="121"/>
      <c r="L35" s="23"/>
      <c r="M35" s="23"/>
      <c r="N35" s="23"/>
      <c r="O35" s="23"/>
      <c r="P35" s="184">
        <v>0</v>
      </c>
      <c r="Q35" s="183">
        <f t="shared" ref="Q35:Q66" si="7">IF(P35="",0,P35)</f>
        <v>0</v>
      </c>
      <c r="R35" s="135" t="str">
        <f t="shared" ref="R35:R66" si="8">IF(J35="","",IF(J35&gt;16,"!",IF(J35&lt;4,"!","")))</f>
        <v/>
      </c>
      <c r="S35" s="135" t="str">
        <f>IF(Q35="","",IF(Q35+Q36&lt;&gt;20,IF(Q35+Q36&lt;&gt;0,"!",""),""))</f>
        <v/>
      </c>
      <c r="T35" s="21" t="str">
        <f t="shared" ref="T35:T66" si="9">IF(R35="!","!",IF(S35="!","!",""))</f>
        <v/>
      </c>
      <c r="U35" s="132">
        <f>IF(D35="",0,VLOOKUP(D35,'Tournament Details'!$C:$X,22,FALSE))</f>
        <v>0</v>
      </c>
      <c r="V35" s="132">
        <f>IF(D35="",0,VLOOKUP(D35,'Tournament Details'!$C:$Y,23,FALSE))</f>
        <v>0</v>
      </c>
      <c r="W35" s="132">
        <f>IF(D35="",0,VLOOKUP(D35,'Tournament Details'!$C:$Z,24,FALSE))</f>
        <v>0</v>
      </c>
      <c r="X35" s="132">
        <f>IF(D35="",0,VLOOKUP(D35,'Tournament Details'!$C:$AA,25,FALSE))</f>
        <v>0</v>
      </c>
      <c r="Y35" s="40" t="str">
        <f>IF(D35="","",IF(COUNTIF(D:D,D35)&gt;1,"DUPLICATE PLAYER",IF(D36="","NO OPPONENT",IF(H35=H36,"SAME TEAM",""))))</f>
        <v/>
      </c>
    </row>
    <row r="36" spans="1:25" ht="15" customHeight="1" thickBot="1" x14ac:dyDescent="0.35">
      <c r="A36" s="224"/>
      <c r="B36" s="43">
        <f t="shared" si="3"/>
        <v>0</v>
      </c>
      <c r="C36" s="139" t="str">
        <f t="shared" si="4"/>
        <v/>
      </c>
      <c r="D36" s="141" t="str">
        <f>'Tournament Details'!C40</f>
        <v/>
      </c>
      <c r="E36" s="142" t="str">
        <f t="shared" si="5"/>
        <v/>
      </c>
      <c r="F36" s="142" t="str">
        <f t="shared" si="6"/>
        <v/>
      </c>
      <c r="G36" s="24" t="str">
        <f>D35</f>
        <v/>
      </c>
      <c r="H36" s="26" t="str">
        <f>IF(D36="","",IF(VLOOKUP(D36,'Tournament Details'!$C:$G,5,FALSE)="",D36,VLOOKUP(D36,'Tournament Details'!$C:$G,5,FALSE)))</f>
        <v/>
      </c>
      <c r="I36" s="12" t="str">
        <f>IF(D36=0,"",IF(VLOOKUP(D36,'Tournament Details'!$C:$E,3,FALSE)&gt;0,VLOOKUP(D36,'Tournament Details'!$C:$E,3,FALSE),""))</f>
        <v/>
      </c>
      <c r="J36" s="122"/>
      <c r="K36" s="122"/>
      <c r="L36" s="23"/>
      <c r="M36" s="24"/>
      <c r="N36" s="24"/>
      <c r="O36" s="24"/>
      <c r="P36" s="185">
        <v>0</v>
      </c>
      <c r="Q36" s="183">
        <f t="shared" si="7"/>
        <v>0</v>
      </c>
      <c r="R36" s="135" t="str">
        <f t="shared" si="8"/>
        <v/>
      </c>
      <c r="S36" s="135" t="str">
        <f>IF(Q36="","",IF(Q35+Q36&lt;&gt;20,IF(Q35+Q36&lt;&gt;0,"!",""),""))</f>
        <v/>
      </c>
      <c r="T36" s="21" t="str">
        <f t="shared" si="9"/>
        <v/>
      </c>
      <c r="U36" s="132">
        <f>IF(D36="",0,VLOOKUP(D36,'Tournament Details'!$C:$X,22,FALSE))</f>
        <v>0</v>
      </c>
      <c r="V36" s="132">
        <f>IF(D36="",0,VLOOKUP(D36,'Tournament Details'!$C:$Y,23,FALSE))</f>
        <v>0</v>
      </c>
      <c r="W36" s="132">
        <f>IF(D36="",0,VLOOKUP(D36,'Tournament Details'!$C:$Z,24,FALSE))</f>
        <v>0</v>
      </c>
      <c r="X36" s="132">
        <f>IF(D36="",0,VLOOKUP(D36,'Tournament Details'!$C:$AA,25,FALSE))</f>
        <v>0</v>
      </c>
      <c r="Y36" s="40" t="str">
        <f>IF(D36="","",IF(COUNTIF(D:D,D36)&gt;1,"DUPLICATE PLAYER",IF(D35="","NO OPPONENT",IF(H36=H35,"SAME TEAM",""))))</f>
        <v/>
      </c>
    </row>
    <row r="37" spans="1:25" ht="15" customHeight="1" thickBot="1" x14ac:dyDescent="0.35">
      <c r="A37" s="224" t="str">
        <f>IF('Tournament Details'!A1&gt;=1,IF(LARGE('Tournament Details'!C7:C86,1)&gt;=36,18,""),"")</f>
        <v/>
      </c>
      <c r="B37" s="42">
        <f t="shared" si="3"/>
        <v>0</v>
      </c>
      <c r="C37" s="139" t="str">
        <f t="shared" si="4"/>
        <v/>
      </c>
      <c r="D37" s="140" t="str">
        <f>'Tournament Details'!C41</f>
        <v/>
      </c>
      <c r="E37" s="44" t="str">
        <f t="shared" si="5"/>
        <v/>
      </c>
      <c r="F37" s="44" t="str">
        <f t="shared" si="6"/>
        <v/>
      </c>
      <c r="G37" s="23" t="str">
        <f>D38</f>
        <v/>
      </c>
      <c r="H37" s="25" t="str">
        <f>IF(D37="","",IF(VLOOKUP(D37,'Tournament Details'!$C:$G,5,FALSE)="",D37,VLOOKUP(D37,'Tournament Details'!$C:$G,5,FALSE)))</f>
        <v/>
      </c>
      <c r="I37" s="7" t="str">
        <f>IF(D37=0,"",IF(VLOOKUP(D37,'Tournament Details'!$C:$E,3,FALSE)&gt;0,VLOOKUP(D37,'Tournament Details'!$C:$E,3,FALSE),""))</f>
        <v/>
      </c>
      <c r="J37" s="121"/>
      <c r="K37" s="121"/>
      <c r="L37" s="23"/>
      <c r="M37" s="23"/>
      <c r="N37" s="23"/>
      <c r="O37" s="23"/>
      <c r="P37" s="184">
        <v>0</v>
      </c>
      <c r="Q37" s="183">
        <f t="shared" si="7"/>
        <v>0</v>
      </c>
      <c r="R37" s="135" t="str">
        <f t="shared" si="8"/>
        <v/>
      </c>
      <c r="S37" s="135" t="str">
        <f>IF(Q37="","",IF(Q37+Q38&lt;&gt;20,IF(Q37+Q38&lt;&gt;0,"!",""),""))</f>
        <v/>
      </c>
      <c r="T37" s="21" t="str">
        <f t="shared" si="9"/>
        <v/>
      </c>
      <c r="U37" s="132">
        <f>IF(D37="",0,VLOOKUP(D37,'Tournament Details'!$C:$X,22,FALSE))</f>
        <v>0</v>
      </c>
      <c r="V37" s="132">
        <f>IF(D37="",0,VLOOKUP(D37,'Tournament Details'!$C:$Y,23,FALSE))</f>
        <v>0</v>
      </c>
      <c r="W37" s="132">
        <f>IF(D37="",0,VLOOKUP(D37,'Tournament Details'!$C:$Z,24,FALSE))</f>
        <v>0</v>
      </c>
      <c r="X37" s="132">
        <f>IF(D37="",0,VLOOKUP(D37,'Tournament Details'!$C:$AA,25,FALSE))</f>
        <v>0</v>
      </c>
      <c r="Y37" s="40" t="str">
        <f>IF(D37="","",IF(COUNTIF(D:D,D37)&gt;1,"DUPLICATE PLAYER",IF(D38="","NO OPPONENT",IF(H37=H38,"SAME TEAM",""))))</f>
        <v/>
      </c>
    </row>
    <row r="38" spans="1:25" ht="15" customHeight="1" thickBot="1" x14ac:dyDescent="0.35">
      <c r="A38" s="224"/>
      <c r="B38" s="43">
        <f t="shared" si="3"/>
        <v>0</v>
      </c>
      <c r="C38" s="139" t="str">
        <f t="shared" si="4"/>
        <v/>
      </c>
      <c r="D38" s="141" t="str">
        <f>'Tournament Details'!C42</f>
        <v/>
      </c>
      <c r="E38" s="142" t="str">
        <f t="shared" si="5"/>
        <v/>
      </c>
      <c r="F38" s="142" t="str">
        <f t="shared" si="6"/>
        <v/>
      </c>
      <c r="G38" s="24" t="str">
        <f>D37</f>
        <v/>
      </c>
      <c r="H38" s="26" t="str">
        <f>IF(D38="","",IF(VLOOKUP(D38,'Tournament Details'!$C:$G,5,FALSE)="",D38,VLOOKUP(D38,'Tournament Details'!$C:$G,5,FALSE)))</f>
        <v/>
      </c>
      <c r="I38" s="12" t="str">
        <f>IF(D38=0,"",IF(VLOOKUP(D38,'Tournament Details'!$C:$E,3,FALSE)&gt;0,VLOOKUP(D38,'Tournament Details'!$C:$E,3,FALSE),""))</f>
        <v/>
      </c>
      <c r="J38" s="122"/>
      <c r="K38" s="122"/>
      <c r="L38" s="23"/>
      <c r="M38" s="24"/>
      <c r="N38" s="24"/>
      <c r="O38" s="24"/>
      <c r="P38" s="185">
        <v>0</v>
      </c>
      <c r="Q38" s="183">
        <f t="shared" si="7"/>
        <v>0</v>
      </c>
      <c r="R38" s="135" t="str">
        <f t="shared" si="8"/>
        <v/>
      </c>
      <c r="S38" s="135" t="str">
        <f>IF(Q38="","",IF(Q37+Q38&lt;&gt;20,IF(Q37+Q38&lt;&gt;0,"!",""),""))</f>
        <v/>
      </c>
      <c r="T38" s="21" t="str">
        <f t="shared" si="9"/>
        <v/>
      </c>
      <c r="U38" s="132">
        <f>IF(D38="",0,VLOOKUP(D38,'Tournament Details'!$C:$X,22,FALSE))</f>
        <v>0</v>
      </c>
      <c r="V38" s="132">
        <f>IF(D38="",0,VLOOKUP(D38,'Tournament Details'!$C:$Y,23,FALSE))</f>
        <v>0</v>
      </c>
      <c r="W38" s="132">
        <f>IF(D38="",0,VLOOKUP(D38,'Tournament Details'!$C:$Z,24,FALSE))</f>
        <v>0</v>
      </c>
      <c r="X38" s="132">
        <f>IF(D38="",0,VLOOKUP(D38,'Tournament Details'!$C:$AA,25,FALSE))</f>
        <v>0</v>
      </c>
      <c r="Y38" s="40" t="str">
        <f>IF(D38="","",IF(COUNTIF(D:D,D38)&gt;1,"DUPLICATE PLAYER",IF(D37="","NO OPPONENT",IF(H38=H37,"SAME TEAM",""))))</f>
        <v/>
      </c>
    </row>
    <row r="39" spans="1:25" ht="15" customHeight="1" thickBot="1" x14ac:dyDescent="0.35">
      <c r="A39" s="224" t="str">
        <f>IF('Tournament Details'!A1&gt;=1,IF(LARGE('Tournament Details'!C7:C86,1)&gt;=38,19,""),"")</f>
        <v/>
      </c>
      <c r="B39" s="42">
        <f t="shared" si="3"/>
        <v>0</v>
      </c>
      <c r="C39" s="139" t="str">
        <f t="shared" si="4"/>
        <v/>
      </c>
      <c r="D39" s="140" t="str">
        <f>'Tournament Details'!C43</f>
        <v/>
      </c>
      <c r="E39" s="44" t="str">
        <f t="shared" si="5"/>
        <v/>
      </c>
      <c r="F39" s="44" t="str">
        <f t="shared" si="6"/>
        <v/>
      </c>
      <c r="G39" s="23" t="str">
        <f>D40</f>
        <v/>
      </c>
      <c r="H39" s="25" t="str">
        <f>IF(D39="","",IF(VLOOKUP(D39,'Tournament Details'!$C:$G,5,FALSE)="",D39,VLOOKUP(D39,'Tournament Details'!$C:$G,5,FALSE)))</f>
        <v/>
      </c>
      <c r="I39" s="7" t="str">
        <f>IF(D39=0,"",IF(VLOOKUP(D39,'Tournament Details'!$C:$E,3,FALSE)&gt;0,VLOOKUP(D39,'Tournament Details'!$C:$E,3,FALSE),""))</f>
        <v/>
      </c>
      <c r="J39" s="121"/>
      <c r="K39" s="121"/>
      <c r="L39" s="23"/>
      <c r="M39" s="23"/>
      <c r="N39" s="23"/>
      <c r="O39" s="23"/>
      <c r="P39" s="184">
        <v>0</v>
      </c>
      <c r="Q39" s="183">
        <f t="shared" si="7"/>
        <v>0</v>
      </c>
      <c r="R39" s="135" t="str">
        <f t="shared" si="8"/>
        <v/>
      </c>
      <c r="S39" s="135" t="str">
        <f>IF(Q39="","",IF(Q39+Q40&lt;&gt;20,IF(Q39+Q40&lt;&gt;0,"!",""),""))</f>
        <v/>
      </c>
      <c r="T39" s="21" t="str">
        <f t="shared" si="9"/>
        <v/>
      </c>
      <c r="U39" s="132">
        <f>IF(D39="",0,VLOOKUP(D39,'Tournament Details'!$C:$X,22,FALSE))</f>
        <v>0</v>
      </c>
      <c r="V39" s="132">
        <f>IF(D39="",0,VLOOKUP(D39,'Tournament Details'!$C:$Y,23,FALSE))</f>
        <v>0</v>
      </c>
      <c r="W39" s="132">
        <f>IF(D39="",0,VLOOKUP(D39,'Tournament Details'!$C:$Z,24,FALSE))</f>
        <v>0</v>
      </c>
      <c r="X39" s="132">
        <f>IF(D39="",0,VLOOKUP(D39,'Tournament Details'!$C:$AA,25,FALSE))</f>
        <v>0</v>
      </c>
      <c r="Y39" s="40" t="str">
        <f>IF(D39="","",IF(COUNTIF(D:D,D39)&gt;1,"DUPLICATE PLAYER",IF(D40="","NO OPPONENT",IF(H39=H40,"SAME TEAM",""))))</f>
        <v/>
      </c>
    </row>
    <row r="40" spans="1:25" ht="15" customHeight="1" thickBot="1" x14ac:dyDescent="0.35">
      <c r="A40" s="224"/>
      <c r="B40" s="43">
        <f t="shared" si="3"/>
        <v>0</v>
      </c>
      <c r="C40" s="139" t="str">
        <f t="shared" si="4"/>
        <v/>
      </c>
      <c r="D40" s="141" t="str">
        <f>'Tournament Details'!C44</f>
        <v/>
      </c>
      <c r="E40" s="142" t="str">
        <f t="shared" si="5"/>
        <v/>
      </c>
      <c r="F40" s="142" t="str">
        <f t="shared" si="6"/>
        <v/>
      </c>
      <c r="G40" s="24" t="str">
        <f>D39</f>
        <v/>
      </c>
      <c r="H40" s="26" t="str">
        <f>IF(D40="","",IF(VLOOKUP(D40,'Tournament Details'!$C:$G,5,FALSE)="",D40,VLOOKUP(D40,'Tournament Details'!$C:$G,5,FALSE)))</f>
        <v/>
      </c>
      <c r="I40" s="12" t="str">
        <f>IF(D40=0,"",IF(VLOOKUP(D40,'Tournament Details'!$C:$E,3,FALSE)&gt;0,VLOOKUP(D40,'Tournament Details'!$C:$E,3,FALSE),""))</f>
        <v/>
      </c>
      <c r="J40" s="122"/>
      <c r="K40" s="122"/>
      <c r="L40" s="23"/>
      <c r="M40" s="24"/>
      <c r="N40" s="24"/>
      <c r="O40" s="24"/>
      <c r="P40" s="185">
        <v>0</v>
      </c>
      <c r="Q40" s="183">
        <f t="shared" si="7"/>
        <v>0</v>
      </c>
      <c r="R40" s="135" t="str">
        <f t="shared" si="8"/>
        <v/>
      </c>
      <c r="S40" s="135" t="str">
        <f>IF(Q40="","",IF(Q39+Q40&lt;&gt;20,IF(Q39+Q40&lt;&gt;0,"!",""),""))</f>
        <v/>
      </c>
      <c r="T40" s="21" t="str">
        <f t="shared" si="9"/>
        <v/>
      </c>
      <c r="U40" s="132">
        <f>IF(D40="",0,VLOOKUP(D40,'Tournament Details'!$C:$X,22,FALSE))</f>
        <v>0</v>
      </c>
      <c r="V40" s="132">
        <f>IF(D40="",0,VLOOKUP(D40,'Tournament Details'!$C:$Y,23,FALSE))</f>
        <v>0</v>
      </c>
      <c r="W40" s="132">
        <f>IF(D40="",0,VLOOKUP(D40,'Tournament Details'!$C:$Z,24,FALSE))</f>
        <v>0</v>
      </c>
      <c r="X40" s="132">
        <f>IF(D40="",0,VLOOKUP(D40,'Tournament Details'!$C:$AA,25,FALSE))</f>
        <v>0</v>
      </c>
      <c r="Y40" s="40" t="str">
        <f>IF(D40="","",IF(COUNTIF(D:D,D40)&gt;1,"DUPLICATE PLAYER",IF(D39="","NO OPPONENT",IF(H40=H39,"SAME TEAM",""))))</f>
        <v/>
      </c>
    </row>
    <row r="41" spans="1:25" ht="15" customHeight="1" thickBot="1" x14ac:dyDescent="0.35">
      <c r="A41" s="224" t="str">
        <f>IF('Tournament Details'!A1&gt;=1,IF(LARGE('Tournament Details'!C7:C86,1)&gt;=40,20,""),"")</f>
        <v/>
      </c>
      <c r="B41" s="42">
        <f t="shared" si="3"/>
        <v>0</v>
      </c>
      <c r="C41" s="139" t="str">
        <f t="shared" si="4"/>
        <v/>
      </c>
      <c r="D41" s="140" t="str">
        <f>'Tournament Details'!C45</f>
        <v/>
      </c>
      <c r="E41" s="44" t="str">
        <f t="shared" si="5"/>
        <v/>
      </c>
      <c r="F41" s="44" t="str">
        <f t="shared" si="6"/>
        <v/>
      </c>
      <c r="G41" s="23" t="str">
        <f>D42</f>
        <v/>
      </c>
      <c r="H41" s="25" t="str">
        <f>IF(D41="","",IF(VLOOKUP(D41,'Tournament Details'!$C:$G,5,FALSE)="",D41,VLOOKUP(D41,'Tournament Details'!$C:$G,5,FALSE)))</f>
        <v/>
      </c>
      <c r="I41" s="7" t="str">
        <f>IF(D41=0,"",IF(VLOOKUP(D41,'Tournament Details'!$C:$E,3,FALSE)&gt;0,VLOOKUP(D41,'Tournament Details'!$C:$E,3,FALSE),""))</f>
        <v/>
      </c>
      <c r="J41" s="121"/>
      <c r="K41" s="121"/>
      <c r="L41" s="23"/>
      <c r="M41" s="23"/>
      <c r="N41" s="23"/>
      <c r="O41" s="23"/>
      <c r="P41" s="184">
        <v>0</v>
      </c>
      <c r="Q41" s="183">
        <f t="shared" si="7"/>
        <v>0</v>
      </c>
      <c r="R41" s="135" t="str">
        <f t="shared" si="8"/>
        <v/>
      </c>
      <c r="S41" s="135" t="str">
        <f>IF(Q41="","",IF(Q41+Q42&lt;&gt;20,IF(Q41+Q42&lt;&gt;0,"!",""),""))</f>
        <v/>
      </c>
      <c r="T41" s="21" t="str">
        <f t="shared" si="9"/>
        <v/>
      </c>
      <c r="U41" s="132">
        <f>IF(D41="",0,VLOOKUP(D41,'Tournament Details'!$C:$X,22,FALSE))</f>
        <v>0</v>
      </c>
      <c r="V41" s="132">
        <f>IF(D41="",0,VLOOKUP(D41,'Tournament Details'!$C:$Y,23,FALSE))</f>
        <v>0</v>
      </c>
      <c r="W41" s="132">
        <f>IF(D41="",0,VLOOKUP(D41,'Tournament Details'!$C:$Z,24,FALSE))</f>
        <v>0</v>
      </c>
      <c r="X41" s="132">
        <f>IF(D41="",0,VLOOKUP(D41,'Tournament Details'!$C:$AA,25,FALSE))</f>
        <v>0</v>
      </c>
      <c r="Y41" s="40" t="str">
        <f>IF(D41="","",IF(COUNTIF(D:D,D41)&gt;1,"DUPLICATE PLAYER",IF(D42="","NO OPPONENT",IF(H41=H42,"SAME TEAM",""))))</f>
        <v/>
      </c>
    </row>
    <row r="42" spans="1:25" ht="15" customHeight="1" thickBot="1" x14ac:dyDescent="0.35">
      <c r="A42" s="224"/>
      <c r="B42" s="43">
        <f t="shared" si="3"/>
        <v>0</v>
      </c>
      <c r="C42" s="139" t="str">
        <f t="shared" si="4"/>
        <v/>
      </c>
      <c r="D42" s="141" t="str">
        <f>'Tournament Details'!C46</f>
        <v/>
      </c>
      <c r="E42" s="142" t="str">
        <f t="shared" si="5"/>
        <v/>
      </c>
      <c r="F42" s="142" t="str">
        <f t="shared" si="6"/>
        <v/>
      </c>
      <c r="G42" s="24" t="str">
        <f>D41</f>
        <v/>
      </c>
      <c r="H42" s="26" t="str">
        <f>IF(D42="","",IF(VLOOKUP(D42,'Tournament Details'!$C:$G,5,FALSE)="",D42,VLOOKUP(D42,'Tournament Details'!$C:$G,5,FALSE)))</f>
        <v/>
      </c>
      <c r="I42" s="12" t="str">
        <f>IF(D42=0,"",IF(VLOOKUP(D42,'Tournament Details'!$C:$E,3,FALSE)&gt;0,VLOOKUP(D42,'Tournament Details'!$C:$E,3,FALSE),""))</f>
        <v/>
      </c>
      <c r="J42" s="122"/>
      <c r="K42" s="122"/>
      <c r="L42" s="23"/>
      <c r="M42" s="24"/>
      <c r="N42" s="24"/>
      <c r="O42" s="24"/>
      <c r="P42" s="185">
        <v>0</v>
      </c>
      <c r="Q42" s="183">
        <f t="shared" si="7"/>
        <v>0</v>
      </c>
      <c r="R42" s="135" t="str">
        <f t="shared" si="8"/>
        <v/>
      </c>
      <c r="S42" s="135" t="str">
        <f>IF(Q42="","",IF(Q41+Q42&lt;&gt;20,IF(Q41+Q42&lt;&gt;0,"!",""),""))</f>
        <v/>
      </c>
      <c r="T42" s="21" t="str">
        <f t="shared" si="9"/>
        <v/>
      </c>
      <c r="U42" s="132">
        <f>IF(D42="",0,VLOOKUP(D42,'Tournament Details'!$C:$X,22,FALSE))</f>
        <v>0</v>
      </c>
      <c r="V42" s="132">
        <f>IF(D42="",0,VLOOKUP(D42,'Tournament Details'!$C:$Y,23,FALSE))</f>
        <v>0</v>
      </c>
      <c r="W42" s="132">
        <f>IF(D42="",0,VLOOKUP(D42,'Tournament Details'!$C:$Z,24,FALSE))</f>
        <v>0</v>
      </c>
      <c r="X42" s="132">
        <f>IF(D42="",0,VLOOKUP(D42,'Tournament Details'!$C:$AA,25,FALSE))</f>
        <v>0</v>
      </c>
      <c r="Y42" s="40" t="str">
        <f>IF(D42="","",IF(COUNTIF(D:D,D42)&gt;1,"DUPLICATE PLAYER",IF(D41="","NO OPPONENT",IF(H42=H41,"SAME TEAM",""))))</f>
        <v/>
      </c>
    </row>
    <row r="43" spans="1:25" ht="15" customHeight="1" thickBot="1" x14ac:dyDescent="0.35">
      <c r="A43" s="224" t="str">
        <f>IF('Tournament Details'!A1&gt;=1,IF(LARGE('Tournament Details'!C7:C86,1)&gt;=42,21,""),"")</f>
        <v/>
      </c>
      <c r="B43" s="42">
        <f t="shared" si="3"/>
        <v>0</v>
      </c>
      <c r="C43" s="139" t="str">
        <f t="shared" si="4"/>
        <v/>
      </c>
      <c r="D43" s="140" t="str">
        <f>'Tournament Details'!C47</f>
        <v/>
      </c>
      <c r="E43" s="44" t="str">
        <f t="shared" si="5"/>
        <v/>
      </c>
      <c r="F43" s="44" t="str">
        <f t="shared" si="6"/>
        <v/>
      </c>
      <c r="G43" s="23" t="str">
        <f>D44</f>
        <v/>
      </c>
      <c r="H43" s="25" t="str">
        <f>IF(D43="","",IF(VLOOKUP(D43,'Tournament Details'!$C:$G,5,FALSE)="",D43,VLOOKUP(D43,'Tournament Details'!$C:$G,5,FALSE)))</f>
        <v/>
      </c>
      <c r="I43" s="7" t="str">
        <f>IF(D43=0,"",IF(VLOOKUP(D43,'Tournament Details'!$C:$E,3,FALSE)&gt;0,VLOOKUP(D43,'Tournament Details'!$C:$E,3,FALSE),""))</f>
        <v/>
      </c>
      <c r="J43" s="121"/>
      <c r="K43" s="121"/>
      <c r="L43" s="23"/>
      <c r="M43" s="23"/>
      <c r="N43" s="23"/>
      <c r="O43" s="23"/>
      <c r="P43" s="184">
        <v>0</v>
      </c>
      <c r="Q43" s="183">
        <f t="shared" si="7"/>
        <v>0</v>
      </c>
      <c r="R43" s="135" t="str">
        <f t="shared" si="8"/>
        <v/>
      </c>
      <c r="S43" s="135" t="str">
        <f>IF(Q43="","",IF(Q43+Q44&lt;&gt;20,IF(Q43+Q44&lt;&gt;0,"!",""),""))</f>
        <v/>
      </c>
      <c r="T43" s="21" t="str">
        <f t="shared" si="9"/>
        <v/>
      </c>
      <c r="U43" s="132">
        <f>IF(D43="",0,VLOOKUP(D43,'Tournament Details'!$C:$X,22,FALSE))</f>
        <v>0</v>
      </c>
      <c r="V43" s="132">
        <f>IF(D43="",0,VLOOKUP(D43,'Tournament Details'!$C:$Y,23,FALSE))</f>
        <v>0</v>
      </c>
      <c r="W43" s="132">
        <f>IF(D43="",0,VLOOKUP(D43,'Tournament Details'!$C:$Z,24,FALSE))</f>
        <v>0</v>
      </c>
      <c r="X43" s="132">
        <f>IF(D43="",0,VLOOKUP(D43,'Tournament Details'!$C:$AA,25,FALSE))</f>
        <v>0</v>
      </c>
      <c r="Y43" s="40" t="str">
        <f>IF(D43="","",IF(COUNTIF(D:D,D43)&gt;1,"DUPLICATE PLAYER",IF(D44="","NO OPPONENT",IF(H43=H44,"SAME TEAM",""))))</f>
        <v/>
      </c>
    </row>
    <row r="44" spans="1:25" ht="15" customHeight="1" thickBot="1" x14ac:dyDescent="0.35">
      <c r="A44" s="224"/>
      <c r="B44" s="43">
        <f t="shared" si="3"/>
        <v>0</v>
      </c>
      <c r="C44" s="139" t="str">
        <f t="shared" si="4"/>
        <v/>
      </c>
      <c r="D44" s="141" t="str">
        <f>'Tournament Details'!C48</f>
        <v/>
      </c>
      <c r="E44" s="142" t="str">
        <f t="shared" si="5"/>
        <v/>
      </c>
      <c r="F44" s="142" t="str">
        <f t="shared" si="6"/>
        <v/>
      </c>
      <c r="G44" s="24" t="str">
        <f>D43</f>
        <v/>
      </c>
      <c r="H44" s="26" t="str">
        <f>IF(D44="","",IF(VLOOKUP(D44,'Tournament Details'!$C:$G,5,FALSE)="",D44,VLOOKUP(D44,'Tournament Details'!$C:$G,5,FALSE)))</f>
        <v/>
      </c>
      <c r="I44" s="12" t="str">
        <f>IF(D44=0,"",IF(VLOOKUP(D44,'Tournament Details'!$C:$E,3,FALSE)&gt;0,VLOOKUP(D44,'Tournament Details'!$C:$E,3,FALSE),""))</f>
        <v/>
      </c>
      <c r="J44" s="122"/>
      <c r="K44" s="122"/>
      <c r="L44" s="23"/>
      <c r="M44" s="24"/>
      <c r="N44" s="24"/>
      <c r="O44" s="24"/>
      <c r="P44" s="185">
        <v>0</v>
      </c>
      <c r="Q44" s="183">
        <f t="shared" si="7"/>
        <v>0</v>
      </c>
      <c r="R44" s="135" t="str">
        <f t="shared" si="8"/>
        <v/>
      </c>
      <c r="S44" s="135" t="str">
        <f>IF(Q44="","",IF(Q43+Q44&lt;&gt;20,IF(Q43+Q44&lt;&gt;0,"!",""),""))</f>
        <v/>
      </c>
      <c r="T44" s="21" t="str">
        <f t="shared" si="9"/>
        <v/>
      </c>
      <c r="U44" s="132">
        <f>IF(D44="",0,VLOOKUP(D44,'Tournament Details'!$C:$X,22,FALSE))</f>
        <v>0</v>
      </c>
      <c r="V44" s="132">
        <f>IF(D44="",0,VLOOKUP(D44,'Tournament Details'!$C:$Y,23,FALSE))</f>
        <v>0</v>
      </c>
      <c r="W44" s="132">
        <f>IF(D44="",0,VLOOKUP(D44,'Tournament Details'!$C:$Z,24,FALSE))</f>
        <v>0</v>
      </c>
      <c r="X44" s="132">
        <f>IF(D44="",0,VLOOKUP(D44,'Tournament Details'!$C:$AA,25,FALSE))</f>
        <v>0</v>
      </c>
      <c r="Y44" s="40" t="str">
        <f>IF(D44="","",IF(COUNTIF(D:D,D44)&gt;1,"DUPLICATE PLAYER",IF(D43="","NO OPPONENT",IF(H44=H43,"SAME TEAM",""))))</f>
        <v/>
      </c>
    </row>
    <row r="45" spans="1:25" ht="15" customHeight="1" thickBot="1" x14ac:dyDescent="0.35">
      <c r="A45" s="224" t="str">
        <f>IF('Tournament Details'!A1&gt;=1,IF(LARGE('Tournament Details'!C7:C86,1)&gt;=44,22,""),"")</f>
        <v/>
      </c>
      <c r="B45" s="42">
        <f t="shared" si="3"/>
        <v>0</v>
      </c>
      <c r="C45" s="139" t="str">
        <f t="shared" si="4"/>
        <v/>
      </c>
      <c r="D45" s="140" t="str">
        <f>'Tournament Details'!C49</f>
        <v/>
      </c>
      <c r="E45" s="44" t="str">
        <f t="shared" si="5"/>
        <v/>
      </c>
      <c r="F45" s="44" t="str">
        <f t="shared" si="6"/>
        <v/>
      </c>
      <c r="G45" s="23" t="str">
        <f>D46</f>
        <v/>
      </c>
      <c r="H45" s="25" t="str">
        <f>IF(D45="","",IF(VLOOKUP(D45,'Tournament Details'!$C:$G,5,FALSE)="",D45,VLOOKUP(D45,'Tournament Details'!$C:$G,5,FALSE)))</f>
        <v/>
      </c>
      <c r="I45" s="7" t="str">
        <f>IF(D45=0,"",IF(VLOOKUP(D45,'Tournament Details'!$C:$E,3,FALSE)&gt;0,VLOOKUP(D45,'Tournament Details'!$C:$E,3,FALSE),""))</f>
        <v/>
      </c>
      <c r="J45" s="121"/>
      <c r="K45" s="121"/>
      <c r="L45" s="23"/>
      <c r="M45" s="23"/>
      <c r="N45" s="23"/>
      <c r="O45" s="23"/>
      <c r="P45" s="184">
        <v>0</v>
      </c>
      <c r="Q45" s="183">
        <f t="shared" si="7"/>
        <v>0</v>
      </c>
      <c r="R45" s="135" t="str">
        <f t="shared" si="8"/>
        <v/>
      </c>
      <c r="S45" s="135" t="str">
        <f>IF(Q45="","",IF(Q45+Q46&lt;&gt;20,IF(Q45+Q46&lt;&gt;0,"!",""),""))</f>
        <v/>
      </c>
      <c r="T45" s="21" t="str">
        <f t="shared" si="9"/>
        <v/>
      </c>
      <c r="U45" s="132">
        <f>IF(D45="",0,VLOOKUP(D45,'Tournament Details'!$C:$X,22,FALSE))</f>
        <v>0</v>
      </c>
      <c r="V45" s="132">
        <f>IF(D45="",0,VLOOKUP(D45,'Tournament Details'!$C:$Y,23,FALSE))</f>
        <v>0</v>
      </c>
      <c r="W45" s="132">
        <f>IF(D45="",0,VLOOKUP(D45,'Tournament Details'!$C:$Z,24,FALSE))</f>
        <v>0</v>
      </c>
      <c r="X45" s="132">
        <f>IF(D45="",0,VLOOKUP(D45,'Tournament Details'!$C:$AA,25,FALSE))</f>
        <v>0</v>
      </c>
      <c r="Y45" s="40" t="str">
        <f>IF(D45="","",IF(COUNTIF(D:D,D45)&gt;1,"DUPLICATE PLAYER",IF(D46="","NO OPPONENT",IF(H45=H46,"SAME TEAM",""))))</f>
        <v/>
      </c>
    </row>
    <row r="46" spans="1:25" ht="15" customHeight="1" thickBot="1" x14ac:dyDescent="0.35">
      <c r="A46" s="224"/>
      <c r="B46" s="43">
        <f t="shared" si="3"/>
        <v>0</v>
      </c>
      <c r="C46" s="139" t="str">
        <f t="shared" si="4"/>
        <v/>
      </c>
      <c r="D46" s="141" t="str">
        <f>'Tournament Details'!C50</f>
        <v/>
      </c>
      <c r="E46" s="142" t="str">
        <f t="shared" si="5"/>
        <v/>
      </c>
      <c r="F46" s="142" t="str">
        <f t="shared" si="6"/>
        <v/>
      </c>
      <c r="G46" s="24" t="str">
        <f>D45</f>
        <v/>
      </c>
      <c r="H46" s="26" t="str">
        <f>IF(D46="","",IF(VLOOKUP(D46,'Tournament Details'!$C:$G,5,FALSE)="",D46,VLOOKUP(D46,'Tournament Details'!$C:$G,5,FALSE)))</f>
        <v/>
      </c>
      <c r="I46" s="12" t="str">
        <f>IF(D46=0,"",IF(VLOOKUP(D46,'Tournament Details'!$C:$E,3,FALSE)&gt;0,VLOOKUP(D46,'Tournament Details'!$C:$E,3,FALSE),""))</f>
        <v/>
      </c>
      <c r="J46" s="122"/>
      <c r="K46" s="122"/>
      <c r="L46" s="23"/>
      <c r="M46" s="24"/>
      <c r="N46" s="24"/>
      <c r="O46" s="24"/>
      <c r="P46" s="185">
        <v>0</v>
      </c>
      <c r="Q46" s="183">
        <f t="shared" si="7"/>
        <v>0</v>
      </c>
      <c r="R46" s="135" t="str">
        <f t="shared" si="8"/>
        <v/>
      </c>
      <c r="S46" s="135" t="str">
        <f>IF(Q46="","",IF(Q45+Q46&lt;&gt;20,IF(Q45+Q46&lt;&gt;0,"!",""),""))</f>
        <v/>
      </c>
      <c r="T46" s="21" t="str">
        <f t="shared" si="9"/>
        <v/>
      </c>
      <c r="U46" s="132">
        <f>IF(D46="",0,VLOOKUP(D46,'Tournament Details'!$C:$X,22,FALSE))</f>
        <v>0</v>
      </c>
      <c r="V46" s="132">
        <f>IF(D46="",0,VLOOKUP(D46,'Tournament Details'!$C:$Y,23,FALSE))</f>
        <v>0</v>
      </c>
      <c r="W46" s="132">
        <f>IF(D46="",0,VLOOKUP(D46,'Tournament Details'!$C:$Z,24,FALSE))</f>
        <v>0</v>
      </c>
      <c r="X46" s="132">
        <f>IF(D46="",0,VLOOKUP(D46,'Tournament Details'!$C:$AA,25,FALSE))</f>
        <v>0</v>
      </c>
      <c r="Y46" s="40" t="str">
        <f>IF(D46="","",IF(COUNTIF(D:D,D46)&gt;1,"DUPLICATE PLAYER",IF(D45="","NO OPPONENT",IF(H46=H45,"SAME TEAM",""))))</f>
        <v/>
      </c>
    </row>
    <row r="47" spans="1:25" ht="15" customHeight="1" thickBot="1" x14ac:dyDescent="0.35">
      <c r="A47" s="224" t="str">
        <f>IF('Tournament Details'!A1&gt;=1,IF(LARGE('Tournament Details'!C7:C86,1)&gt;=46,23,""),"")</f>
        <v/>
      </c>
      <c r="B47" s="42">
        <f t="shared" si="3"/>
        <v>0</v>
      </c>
      <c r="C47" s="139" t="str">
        <f t="shared" si="4"/>
        <v/>
      </c>
      <c r="D47" s="140" t="str">
        <f>'Tournament Details'!C51</f>
        <v/>
      </c>
      <c r="E47" s="44" t="str">
        <f t="shared" si="5"/>
        <v/>
      </c>
      <c r="F47" s="44" t="str">
        <f t="shared" si="6"/>
        <v/>
      </c>
      <c r="G47" s="23" t="str">
        <f>D48</f>
        <v/>
      </c>
      <c r="H47" s="25" t="str">
        <f>IF(D47="","",IF(VLOOKUP(D47,'Tournament Details'!$C:$G,5,FALSE)="",D47,VLOOKUP(D47,'Tournament Details'!$C:$G,5,FALSE)))</f>
        <v/>
      </c>
      <c r="I47" s="7" t="str">
        <f>IF(D47=0,"",IF(VLOOKUP(D47,'Tournament Details'!$C:$E,3,FALSE)&gt;0,VLOOKUP(D47,'Tournament Details'!$C:$E,3,FALSE),""))</f>
        <v/>
      </c>
      <c r="J47" s="121"/>
      <c r="K47" s="121"/>
      <c r="L47" s="23"/>
      <c r="M47" s="23"/>
      <c r="N47" s="23"/>
      <c r="O47" s="23"/>
      <c r="P47" s="184">
        <v>0</v>
      </c>
      <c r="Q47" s="183">
        <f t="shared" si="7"/>
        <v>0</v>
      </c>
      <c r="R47" s="135" t="str">
        <f t="shared" si="8"/>
        <v/>
      </c>
      <c r="S47" s="135" t="str">
        <f>IF(Q47="","",IF(Q47+Q48&lt;&gt;20,IF(Q47+Q48&lt;&gt;0,"!",""),""))</f>
        <v/>
      </c>
      <c r="T47" s="21" t="str">
        <f t="shared" si="9"/>
        <v/>
      </c>
      <c r="U47" s="132">
        <f>IF(D47="",0,VLOOKUP(D47,'Tournament Details'!$C:$X,22,FALSE))</f>
        <v>0</v>
      </c>
      <c r="V47" s="132">
        <f>IF(D47="",0,VLOOKUP(D47,'Tournament Details'!$C:$Y,23,FALSE))</f>
        <v>0</v>
      </c>
      <c r="W47" s="132">
        <f>IF(D47="",0,VLOOKUP(D47,'Tournament Details'!$C:$Z,24,FALSE))</f>
        <v>0</v>
      </c>
      <c r="X47" s="132">
        <f>IF(D47="",0,VLOOKUP(D47,'Tournament Details'!$C:$AA,25,FALSE))</f>
        <v>0</v>
      </c>
      <c r="Y47" s="40" t="str">
        <f>IF(D47="","",IF(COUNTIF(D:D,D47)&gt;1,"DUPLICATE PLAYER",IF(D48="","NO OPPONENT",IF(H47=H48,"SAME TEAM",""))))</f>
        <v/>
      </c>
    </row>
    <row r="48" spans="1:25" ht="15" customHeight="1" thickBot="1" x14ac:dyDescent="0.35">
      <c r="A48" s="224"/>
      <c r="B48" s="43">
        <f t="shared" si="3"/>
        <v>0</v>
      </c>
      <c r="C48" s="139" t="str">
        <f t="shared" si="4"/>
        <v/>
      </c>
      <c r="D48" s="141" t="str">
        <f>'Tournament Details'!C52</f>
        <v/>
      </c>
      <c r="E48" s="142" t="str">
        <f t="shared" si="5"/>
        <v/>
      </c>
      <c r="F48" s="142" t="str">
        <f t="shared" si="6"/>
        <v/>
      </c>
      <c r="G48" s="24" t="str">
        <f>D47</f>
        <v/>
      </c>
      <c r="H48" s="26" t="str">
        <f>IF(D48="","",IF(VLOOKUP(D48,'Tournament Details'!$C:$G,5,FALSE)="",D48,VLOOKUP(D48,'Tournament Details'!$C:$G,5,FALSE)))</f>
        <v/>
      </c>
      <c r="I48" s="12" t="str">
        <f>IF(D48=0,"",IF(VLOOKUP(D48,'Tournament Details'!$C:$E,3,FALSE)&gt;0,VLOOKUP(D48,'Tournament Details'!$C:$E,3,FALSE),""))</f>
        <v/>
      </c>
      <c r="J48" s="122"/>
      <c r="K48" s="122"/>
      <c r="L48" s="23"/>
      <c r="M48" s="24"/>
      <c r="N48" s="24"/>
      <c r="O48" s="24"/>
      <c r="P48" s="185">
        <v>0</v>
      </c>
      <c r="Q48" s="183">
        <f t="shared" si="7"/>
        <v>0</v>
      </c>
      <c r="R48" s="135" t="str">
        <f t="shared" si="8"/>
        <v/>
      </c>
      <c r="S48" s="135" t="str">
        <f>IF(Q48="","",IF(Q47+Q48&lt;&gt;20,IF(Q47+Q48&lt;&gt;0,"!",""),""))</f>
        <v/>
      </c>
      <c r="T48" s="21" t="str">
        <f t="shared" si="9"/>
        <v/>
      </c>
      <c r="U48" s="132">
        <f>IF(D48="",0,VLOOKUP(D48,'Tournament Details'!$C:$X,22,FALSE))</f>
        <v>0</v>
      </c>
      <c r="V48" s="132">
        <f>IF(D48="",0,VLOOKUP(D48,'Tournament Details'!$C:$Y,23,FALSE))</f>
        <v>0</v>
      </c>
      <c r="W48" s="132">
        <f>IF(D48="",0,VLOOKUP(D48,'Tournament Details'!$C:$Z,24,FALSE))</f>
        <v>0</v>
      </c>
      <c r="X48" s="132">
        <f>IF(D48="",0,VLOOKUP(D48,'Tournament Details'!$C:$AA,25,FALSE))</f>
        <v>0</v>
      </c>
      <c r="Y48" s="40" t="str">
        <f>IF(D48="","",IF(COUNTIF(D:D,D48)&gt;1,"DUPLICATE PLAYER",IF(D47="","NO OPPONENT",IF(H48=H47,"SAME TEAM",""))))</f>
        <v/>
      </c>
    </row>
    <row r="49" spans="1:25" ht="15" customHeight="1" thickBot="1" x14ac:dyDescent="0.35">
      <c r="A49" s="224" t="str">
        <f>IF('Tournament Details'!A1&gt;=1,IF(LARGE('Tournament Details'!C7:C86,1)&gt;=48,24,""),"")</f>
        <v/>
      </c>
      <c r="B49" s="42">
        <f t="shared" si="3"/>
        <v>0</v>
      </c>
      <c r="C49" s="139" t="str">
        <f t="shared" si="4"/>
        <v/>
      </c>
      <c r="D49" s="140" t="str">
        <f>'Tournament Details'!C53</f>
        <v/>
      </c>
      <c r="E49" s="44" t="str">
        <f t="shared" si="5"/>
        <v/>
      </c>
      <c r="F49" s="44" t="str">
        <f t="shared" si="6"/>
        <v/>
      </c>
      <c r="G49" s="23" t="str">
        <f>D50</f>
        <v/>
      </c>
      <c r="H49" s="25" t="str">
        <f>IF(D49="","",IF(VLOOKUP(D49,'Tournament Details'!$C:$G,5,FALSE)="",D49,VLOOKUP(D49,'Tournament Details'!$C:$G,5,FALSE)))</f>
        <v/>
      </c>
      <c r="I49" s="7" t="str">
        <f>IF(D49=0,"",IF(VLOOKUP(D49,'Tournament Details'!$C:$E,3,FALSE)&gt;0,VLOOKUP(D49,'Tournament Details'!$C:$E,3,FALSE),""))</f>
        <v/>
      </c>
      <c r="J49" s="121"/>
      <c r="K49" s="121"/>
      <c r="L49" s="23"/>
      <c r="M49" s="23"/>
      <c r="N49" s="23"/>
      <c r="O49" s="23"/>
      <c r="P49" s="184">
        <v>0</v>
      </c>
      <c r="Q49" s="183">
        <f t="shared" si="7"/>
        <v>0</v>
      </c>
      <c r="R49" s="135" t="str">
        <f t="shared" si="8"/>
        <v/>
      </c>
      <c r="S49" s="135" t="str">
        <f>IF(Q49="","",IF(Q49+Q50&lt;&gt;20,IF(Q49+Q50&lt;&gt;0,"!",""),""))</f>
        <v/>
      </c>
      <c r="T49" s="21" t="str">
        <f t="shared" si="9"/>
        <v/>
      </c>
      <c r="U49" s="132">
        <f>IF(D49="",0,VLOOKUP(D49,'Tournament Details'!$C:$X,22,FALSE))</f>
        <v>0</v>
      </c>
      <c r="V49" s="132">
        <f>IF(D49="",0,VLOOKUP(D49,'Tournament Details'!$C:$Y,23,FALSE))</f>
        <v>0</v>
      </c>
      <c r="W49" s="132">
        <f>IF(D49="",0,VLOOKUP(D49,'Tournament Details'!$C:$Z,24,FALSE))</f>
        <v>0</v>
      </c>
      <c r="X49" s="132">
        <f>IF(D49="",0,VLOOKUP(D49,'Tournament Details'!$C:$AA,25,FALSE))</f>
        <v>0</v>
      </c>
      <c r="Y49" s="40" t="str">
        <f>IF(D49="","",IF(COUNTIF(D:D,D49)&gt;1,"DUPLICATE PLAYER",IF(D50="","NO OPPONENT",IF(H49=H50,"SAME TEAM",""))))</f>
        <v/>
      </c>
    </row>
    <row r="50" spans="1:25" ht="15" customHeight="1" thickBot="1" x14ac:dyDescent="0.35">
      <c r="A50" s="224"/>
      <c r="B50" s="43">
        <f t="shared" si="3"/>
        <v>0</v>
      </c>
      <c r="C50" s="139" t="str">
        <f t="shared" si="4"/>
        <v/>
      </c>
      <c r="D50" s="141" t="str">
        <f>'Tournament Details'!C54</f>
        <v/>
      </c>
      <c r="E50" s="142" t="str">
        <f t="shared" si="5"/>
        <v/>
      </c>
      <c r="F50" s="142" t="str">
        <f t="shared" si="6"/>
        <v/>
      </c>
      <c r="G50" s="24" t="str">
        <f>D49</f>
        <v/>
      </c>
      <c r="H50" s="26" t="str">
        <f>IF(D50="","",IF(VLOOKUP(D50,'Tournament Details'!$C:$G,5,FALSE)="",D50,VLOOKUP(D50,'Tournament Details'!$C:$G,5,FALSE)))</f>
        <v/>
      </c>
      <c r="I50" s="12" t="str">
        <f>IF(D50=0,"",IF(VLOOKUP(D50,'Tournament Details'!$C:$E,3,FALSE)&gt;0,VLOOKUP(D50,'Tournament Details'!$C:$E,3,FALSE),""))</f>
        <v/>
      </c>
      <c r="J50" s="122"/>
      <c r="K50" s="122"/>
      <c r="L50" s="23"/>
      <c r="M50" s="24"/>
      <c r="N50" s="24"/>
      <c r="O50" s="24"/>
      <c r="P50" s="185">
        <v>0</v>
      </c>
      <c r="Q50" s="183">
        <f t="shared" si="7"/>
        <v>0</v>
      </c>
      <c r="R50" s="135" t="str">
        <f t="shared" si="8"/>
        <v/>
      </c>
      <c r="S50" s="135" t="str">
        <f>IF(Q50="","",IF(Q49+Q50&lt;&gt;20,IF(Q49+Q50&lt;&gt;0,"!",""),""))</f>
        <v/>
      </c>
      <c r="T50" s="21" t="str">
        <f t="shared" si="9"/>
        <v/>
      </c>
      <c r="U50" s="132">
        <f>IF(D50="",0,VLOOKUP(D50,'Tournament Details'!$C:$X,22,FALSE))</f>
        <v>0</v>
      </c>
      <c r="V50" s="132">
        <f>IF(D50="",0,VLOOKUP(D50,'Tournament Details'!$C:$Y,23,FALSE))</f>
        <v>0</v>
      </c>
      <c r="W50" s="132">
        <f>IF(D50="",0,VLOOKUP(D50,'Tournament Details'!$C:$Z,24,FALSE))</f>
        <v>0</v>
      </c>
      <c r="X50" s="132">
        <f>IF(D50="",0,VLOOKUP(D50,'Tournament Details'!$C:$AA,25,FALSE))</f>
        <v>0</v>
      </c>
      <c r="Y50" s="40" t="str">
        <f>IF(D50="","",IF(COUNTIF(D:D,D50)&gt;1,"DUPLICATE PLAYER",IF(D49="","NO OPPONENT",IF(H50=H49,"SAME TEAM",""))))</f>
        <v/>
      </c>
    </row>
    <row r="51" spans="1:25" ht="15" customHeight="1" thickBot="1" x14ac:dyDescent="0.35">
      <c r="A51" s="224" t="str">
        <f>IF('Tournament Details'!A1&gt;=1,IF(LARGE('Tournament Details'!C7:C86,1)&gt;=50,25,""),"")</f>
        <v/>
      </c>
      <c r="B51" s="42">
        <f t="shared" si="3"/>
        <v>0</v>
      </c>
      <c r="C51" s="139" t="str">
        <f t="shared" si="4"/>
        <v/>
      </c>
      <c r="D51" s="140" t="str">
        <f>'Tournament Details'!C55</f>
        <v/>
      </c>
      <c r="E51" s="44" t="str">
        <f t="shared" si="5"/>
        <v/>
      </c>
      <c r="F51" s="44" t="str">
        <f t="shared" si="6"/>
        <v/>
      </c>
      <c r="G51" s="23" t="str">
        <f>D52</f>
        <v/>
      </c>
      <c r="H51" s="25" t="str">
        <f>IF(D51="","",IF(VLOOKUP(D51,'Tournament Details'!$C:$G,5,FALSE)="",D51,VLOOKUP(D51,'Tournament Details'!$C:$G,5,FALSE)))</f>
        <v/>
      </c>
      <c r="I51" s="7" t="str">
        <f>IF(D51=0,"",IF(VLOOKUP(D51,'Tournament Details'!$C:$E,3,FALSE)&gt;0,VLOOKUP(D51,'Tournament Details'!$C:$E,3,FALSE),""))</f>
        <v/>
      </c>
      <c r="J51" s="121"/>
      <c r="K51" s="121"/>
      <c r="L51" s="23"/>
      <c r="M51" s="23"/>
      <c r="N51" s="23"/>
      <c r="O51" s="23"/>
      <c r="P51" s="184">
        <v>0</v>
      </c>
      <c r="Q51" s="183">
        <f t="shared" si="7"/>
        <v>0</v>
      </c>
      <c r="R51" s="135" t="str">
        <f t="shared" si="8"/>
        <v/>
      </c>
      <c r="S51" s="135" t="str">
        <f>IF(Q51="","",IF(Q51+Q52&lt;&gt;20,IF(Q51+Q52&lt;&gt;0,"!",""),""))</f>
        <v/>
      </c>
      <c r="T51" s="21" t="str">
        <f t="shared" si="9"/>
        <v/>
      </c>
      <c r="U51" s="132">
        <f>IF(D51="",0,VLOOKUP(D51,'Tournament Details'!$C:$X,22,FALSE))</f>
        <v>0</v>
      </c>
      <c r="V51" s="132">
        <f>IF(D51="",0,VLOOKUP(D51,'Tournament Details'!$C:$Y,23,FALSE))</f>
        <v>0</v>
      </c>
      <c r="W51" s="132">
        <f>IF(D51="",0,VLOOKUP(D51,'Tournament Details'!$C:$Z,24,FALSE))</f>
        <v>0</v>
      </c>
      <c r="X51" s="132">
        <f>IF(D51="",0,VLOOKUP(D51,'Tournament Details'!$C:$AA,25,FALSE))</f>
        <v>0</v>
      </c>
      <c r="Y51" s="40" t="str">
        <f>IF(D51="","",IF(COUNTIF(D:D,D51)&gt;1,"DUPLICATE PLAYER",IF(D52="","NO OPPONENT",IF(H51=H52,"SAME TEAM",""))))</f>
        <v/>
      </c>
    </row>
    <row r="52" spans="1:25" ht="15" customHeight="1" thickBot="1" x14ac:dyDescent="0.35">
      <c r="A52" s="224"/>
      <c r="B52" s="43">
        <f t="shared" si="3"/>
        <v>0</v>
      </c>
      <c r="C52" s="139" t="str">
        <f t="shared" si="4"/>
        <v/>
      </c>
      <c r="D52" s="141" t="str">
        <f>'Tournament Details'!C56</f>
        <v/>
      </c>
      <c r="E52" s="142" t="str">
        <f t="shared" si="5"/>
        <v/>
      </c>
      <c r="F52" s="142" t="str">
        <f t="shared" si="6"/>
        <v/>
      </c>
      <c r="G52" s="24" t="str">
        <f>D51</f>
        <v/>
      </c>
      <c r="H52" s="26" t="str">
        <f>IF(D52="","",IF(VLOOKUP(D52,'Tournament Details'!$C:$G,5,FALSE)="",D52,VLOOKUP(D52,'Tournament Details'!$C:$G,5,FALSE)))</f>
        <v/>
      </c>
      <c r="I52" s="12" t="str">
        <f>IF(D52=0,"",IF(VLOOKUP(D52,'Tournament Details'!$C:$E,3,FALSE)&gt;0,VLOOKUP(D52,'Tournament Details'!$C:$E,3,FALSE),""))</f>
        <v/>
      </c>
      <c r="J52" s="122"/>
      <c r="K52" s="122"/>
      <c r="L52" s="23"/>
      <c r="M52" s="24"/>
      <c r="N52" s="24"/>
      <c r="O52" s="24"/>
      <c r="P52" s="185">
        <v>0</v>
      </c>
      <c r="Q52" s="183">
        <f t="shared" si="7"/>
        <v>0</v>
      </c>
      <c r="R52" s="135" t="str">
        <f t="shared" si="8"/>
        <v/>
      </c>
      <c r="S52" s="135" t="str">
        <f>IF(Q52="","",IF(Q51+Q52&lt;&gt;20,IF(Q51+Q52&lt;&gt;0,"!",""),""))</f>
        <v/>
      </c>
      <c r="T52" s="21" t="str">
        <f t="shared" si="9"/>
        <v/>
      </c>
      <c r="U52" s="132">
        <f>IF(D52="",0,VLOOKUP(D52,'Tournament Details'!$C:$X,22,FALSE))</f>
        <v>0</v>
      </c>
      <c r="V52" s="132">
        <f>IF(D52="",0,VLOOKUP(D52,'Tournament Details'!$C:$Y,23,FALSE))</f>
        <v>0</v>
      </c>
      <c r="W52" s="132">
        <f>IF(D52="",0,VLOOKUP(D52,'Tournament Details'!$C:$Z,24,FALSE))</f>
        <v>0</v>
      </c>
      <c r="X52" s="132">
        <f>IF(D52="",0,VLOOKUP(D52,'Tournament Details'!$C:$AA,25,FALSE))</f>
        <v>0</v>
      </c>
      <c r="Y52" s="40" t="str">
        <f>IF(D52="","",IF(COUNTIF(D:D,D52)&gt;1,"DUPLICATE PLAYER",IF(D51="","NO OPPONENT",IF(H52=H51,"SAME TEAM",""))))</f>
        <v/>
      </c>
    </row>
    <row r="53" spans="1:25" ht="15" customHeight="1" thickBot="1" x14ac:dyDescent="0.35">
      <c r="A53" s="224" t="str">
        <f>IF('Tournament Details'!A1&gt;=1,IF(LARGE('Tournament Details'!C7:C86,1)&gt;=52,26,""),"")</f>
        <v/>
      </c>
      <c r="B53" s="42">
        <f t="shared" si="3"/>
        <v>0</v>
      </c>
      <c r="C53" s="139" t="str">
        <f t="shared" si="4"/>
        <v/>
      </c>
      <c r="D53" s="140" t="str">
        <f>'Tournament Details'!C57</f>
        <v/>
      </c>
      <c r="E53" s="44" t="str">
        <f t="shared" si="5"/>
        <v/>
      </c>
      <c r="F53" s="44" t="str">
        <f t="shared" si="6"/>
        <v/>
      </c>
      <c r="G53" s="23" t="str">
        <f>D54</f>
        <v/>
      </c>
      <c r="H53" s="25" t="str">
        <f>IF(D53="","",IF(VLOOKUP(D53,'Tournament Details'!$C:$G,5,FALSE)="",D53,VLOOKUP(D53,'Tournament Details'!$C:$G,5,FALSE)))</f>
        <v/>
      </c>
      <c r="I53" s="7" t="str">
        <f>IF(D53=0,"",IF(VLOOKUP(D53,'Tournament Details'!$C:$E,3,FALSE)&gt;0,VLOOKUP(D53,'Tournament Details'!$C:$E,3,FALSE),""))</f>
        <v/>
      </c>
      <c r="J53" s="121"/>
      <c r="K53" s="121"/>
      <c r="L53" s="23"/>
      <c r="M53" s="23"/>
      <c r="N53" s="23"/>
      <c r="O53" s="23"/>
      <c r="P53" s="184">
        <v>0</v>
      </c>
      <c r="Q53" s="183">
        <f t="shared" si="7"/>
        <v>0</v>
      </c>
      <c r="R53" s="135" t="str">
        <f t="shared" si="8"/>
        <v/>
      </c>
      <c r="S53" s="135" t="str">
        <f>IF(Q53="","",IF(Q53+Q54&lt;&gt;20,IF(Q53+Q54&lt;&gt;0,"!",""),""))</f>
        <v/>
      </c>
      <c r="T53" s="21" t="str">
        <f t="shared" si="9"/>
        <v/>
      </c>
      <c r="U53" s="132">
        <f>IF(D53="",0,VLOOKUP(D53,'Tournament Details'!$C:$X,22,FALSE))</f>
        <v>0</v>
      </c>
      <c r="V53" s="132">
        <f>IF(D53="",0,VLOOKUP(D53,'Tournament Details'!$C:$Y,23,FALSE))</f>
        <v>0</v>
      </c>
      <c r="W53" s="132">
        <f>IF(D53="",0,VLOOKUP(D53,'Tournament Details'!$C:$Z,24,FALSE))</f>
        <v>0</v>
      </c>
      <c r="X53" s="132">
        <f>IF(D53="",0,VLOOKUP(D53,'Tournament Details'!$C:$AA,25,FALSE))</f>
        <v>0</v>
      </c>
      <c r="Y53" s="40" t="str">
        <f>IF(D53="","",IF(COUNTIF(D:D,D53)&gt;1,"DUPLICATE PLAYER",IF(D54="","NO OPPONENT",IF(H53=H54,"SAME TEAM",""))))</f>
        <v/>
      </c>
    </row>
    <row r="54" spans="1:25" ht="15" customHeight="1" thickBot="1" x14ac:dyDescent="0.35">
      <c r="A54" s="224"/>
      <c r="B54" s="43">
        <f t="shared" si="3"/>
        <v>0</v>
      </c>
      <c r="C54" s="139" t="str">
        <f t="shared" si="4"/>
        <v/>
      </c>
      <c r="D54" s="141" t="str">
        <f>'Tournament Details'!C58</f>
        <v/>
      </c>
      <c r="E54" s="142" t="str">
        <f t="shared" si="5"/>
        <v/>
      </c>
      <c r="F54" s="142" t="str">
        <f t="shared" si="6"/>
        <v/>
      </c>
      <c r="G54" s="24" t="str">
        <f>D53</f>
        <v/>
      </c>
      <c r="H54" s="26" t="str">
        <f>IF(D54="","",IF(VLOOKUP(D54,'Tournament Details'!$C:$G,5,FALSE)="",D54,VLOOKUP(D54,'Tournament Details'!$C:$G,5,FALSE)))</f>
        <v/>
      </c>
      <c r="I54" s="12" t="str">
        <f>IF(D54=0,"",IF(VLOOKUP(D54,'Tournament Details'!$C:$E,3,FALSE)&gt;0,VLOOKUP(D54,'Tournament Details'!$C:$E,3,FALSE),""))</f>
        <v/>
      </c>
      <c r="J54" s="122"/>
      <c r="K54" s="122"/>
      <c r="L54" s="23"/>
      <c r="M54" s="24"/>
      <c r="N54" s="24"/>
      <c r="O54" s="24"/>
      <c r="P54" s="185">
        <v>0</v>
      </c>
      <c r="Q54" s="183">
        <f t="shared" si="7"/>
        <v>0</v>
      </c>
      <c r="R54" s="135" t="str">
        <f t="shared" si="8"/>
        <v/>
      </c>
      <c r="S54" s="135" t="str">
        <f>IF(Q54="","",IF(Q53+Q54&lt;&gt;20,IF(Q53+Q54&lt;&gt;0,"!",""),""))</f>
        <v/>
      </c>
      <c r="T54" s="21" t="str">
        <f t="shared" si="9"/>
        <v/>
      </c>
      <c r="U54" s="132">
        <f>IF(D54="",0,VLOOKUP(D54,'Tournament Details'!$C:$X,22,FALSE))</f>
        <v>0</v>
      </c>
      <c r="V54" s="132">
        <f>IF(D54="",0,VLOOKUP(D54,'Tournament Details'!$C:$Y,23,FALSE))</f>
        <v>0</v>
      </c>
      <c r="W54" s="132">
        <f>IF(D54="",0,VLOOKUP(D54,'Tournament Details'!$C:$Z,24,FALSE))</f>
        <v>0</v>
      </c>
      <c r="X54" s="132">
        <f>IF(D54="",0,VLOOKUP(D54,'Tournament Details'!$C:$AA,25,FALSE))</f>
        <v>0</v>
      </c>
      <c r="Y54" s="40" t="str">
        <f>IF(D54="","",IF(COUNTIF(D:D,D54)&gt;1,"DUPLICATE PLAYER",IF(D53="","NO OPPONENT",IF(H54=H53,"SAME TEAM",""))))</f>
        <v/>
      </c>
    </row>
    <row r="55" spans="1:25" ht="15" customHeight="1" thickBot="1" x14ac:dyDescent="0.35">
      <c r="A55" s="224" t="str">
        <f>IF('Tournament Details'!A1&gt;=1,IF(LARGE('Tournament Details'!C7:C86,1)&gt;=54,27,""),"")</f>
        <v/>
      </c>
      <c r="B55" s="42">
        <f t="shared" si="3"/>
        <v>0</v>
      </c>
      <c r="C55" s="139" t="str">
        <f t="shared" si="4"/>
        <v/>
      </c>
      <c r="D55" s="140" t="str">
        <f>'Tournament Details'!C59</f>
        <v/>
      </c>
      <c r="E55" s="44" t="str">
        <f t="shared" si="5"/>
        <v/>
      </c>
      <c r="F55" s="44" t="str">
        <f t="shared" si="6"/>
        <v/>
      </c>
      <c r="G55" s="23" t="str">
        <f>D56</f>
        <v/>
      </c>
      <c r="H55" s="25" t="str">
        <f>IF(D55="","",IF(VLOOKUP(D55,'Tournament Details'!$C:$G,5,FALSE)="",D55,VLOOKUP(D55,'Tournament Details'!$C:$G,5,FALSE)))</f>
        <v/>
      </c>
      <c r="I55" s="7" t="str">
        <f>IF(D55=0,"",IF(VLOOKUP(D55,'Tournament Details'!$C:$E,3,FALSE)&gt;0,VLOOKUP(D55,'Tournament Details'!$C:$E,3,FALSE),""))</f>
        <v/>
      </c>
      <c r="J55" s="121"/>
      <c r="K55" s="121"/>
      <c r="L55" s="23"/>
      <c r="M55" s="23"/>
      <c r="N55" s="23"/>
      <c r="O55" s="23"/>
      <c r="P55" s="184">
        <v>0</v>
      </c>
      <c r="Q55" s="183">
        <f t="shared" si="7"/>
        <v>0</v>
      </c>
      <c r="R55" s="135" t="str">
        <f t="shared" si="8"/>
        <v/>
      </c>
      <c r="S55" s="135" t="str">
        <f>IF(Q55="","",IF(Q55+Q56&lt;&gt;20,IF(Q55+Q56&lt;&gt;0,"!",""),""))</f>
        <v/>
      </c>
      <c r="T55" s="21" t="str">
        <f t="shared" si="9"/>
        <v/>
      </c>
      <c r="U55" s="132">
        <f>IF(D55="",0,VLOOKUP(D55,'Tournament Details'!$C:$X,22,FALSE))</f>
        <v>0</v>
      </c>
      <c r="V55" s="132">
        <f>IF(D55="",0,VLOOKUP(D55,'Tournament Details'!$C:$Y,23,FALSE))</f>
        <v>0</v>
      </c>
      <c r="W55" s="132">
        <f>IF(D55="",0,VLOOKUP(D55,'Tournament Details'!$C:$Z,24,FALSE))</f>
        <v>0</v>
      </c>
      <c r="X55" s="132">
        <f>IF(D55="",0,VLOOKUP(D55,'Tournament Details'!$C:$AA,25,FALSE))</f>
        <v>0</v>
      </c>
      <c r="Y55" s="40" t="str">
        <f>IF(D55="","",IF(COUNTIF(D:D,D55)&gt;1,"DUPLICATE PLAYER",IF(D56="","NO OPPONENT",IF(H55=H56,"SAME TEAM",""))))</f>
        <v/>
      </c>
    </row>
    <row r="56" spans="1:25" ht="15" customHeight="1" thickBot="1" x14ac:dyDescent="0.35">
      <c r="A56" s="224"/>
      <c r="B56" s="43">
        <f t="shared" si="3"/>
        <v>0</v>
      </c>
      <c r="C56" s="139" t="str">
        <f t="shared" si="4"/>
        <v/>
      </c>
      <c r="D56" s="141" t="str">
        <f>'Tournament Details'!C60</f>
        <v/>
      </c>
      <c r="E56" s="142" t="str">
        <f t="shared" si="5"/>
        <v/>
      </c>
      <c r="F56" s="142" t="str">
        <f t="shared" si="6"/>
        <v/>
      </c>
      <c r="G56" s="24" t="str">
        <f>D55</f>
        <v/>
      </c>
      <c r="H56" s="26" t="str">
        <f>IF(D56="","",IF(VLOOKUP(D56,'Tournament Details'!$C:$G,5,FALSE)="",D56,VLOOKUP(D56,'Tournament Details'!$C:$G,5,FALSE)))</f>
        <v/>
      </c>
      <c r="I56" s="12" t="str">
        <f>IF(D56=0,"",IF(VLOOKUP(D56,'Tournament Details'!$C:$E,3,FALSE)&gt;0,VLOOKUP(D56,'Tournament Details'!$C:$E,3,FALSE),""))</f>
        <v/>
      </c>
      <c r="J56" s="122"/>
      <c r="K56" s="122"/>
      <c r="L56" s="23"/>
      <c r="M56" s="24"/>
      <c r="N56" s="24"/>
      <c r="O56" s="24"/>
      <c r="P56" s="185">
        <v>0</v>
      </c>
      <c r="Q56" s="183">
        <f t="shared" si="7"/>
        <v>0</v>
      </c>
      <c r="R56" s="135" t="str">
        <f t="shared" si="8"/>
        <v/>
      </c>
      <c r="S56" s="135" t="str">
        <f>IF(Q56="","",IF(Q55+Q56&lt;&gt;20,IF(Q55+Q56&lt;&gt;0,"!",""),""))</f>
        <v/>
      </c>
      <c r="T56" s="21" t="str">
        <f t="shared" si="9"/>
        <v/>
      </c>
      <c r="U56" s="132">
        <f>IF(D56="",0,VLOOKUP(D56,'Tournament Details'!$C:$X,22,FALSE))</f>
        <v>0</v>
      </c>
      <c r="V56" s="132">
        <f>IF(D56="",0,VLOOKUP(D56,'Tournament Details'!$C:$Y,23,FALSE))</f>
        <v>0</v>
      </c>
      <c r="W56" s="132">
        <f>IF(D56="",0,VLOOKUP(D56,'Tournament Details'!$C:$Z,24,FALSE))</f>
        <v>0</v>
      </c>
      <c r="X56" s="132">
        <f>IF(D56="",0,VLOOKUP(D56,'Tournament Details'!$C:$AA,25,FALSE))</f>
        <v>0</v>
      </c>
      <c r="Y56" s="40" t="str">
        <f>IF(D56="","",IF(COUNTIF(D:D,D56)&gt;1,"DUPLICATE PLAYER",IF(D55="","NO OPPONENT",IF(H56=H55,"SAME TEAM",""))))</f>
        <v/>
      </c>
    </row>
    <row r="57" spans="1:25" ht="15" customHeight="1" thickBot="1" x14ac:dyDescent="0.35">
      <c r="A57" s="224" t="str">
        <f>IF('Tournament Details'!A1&gt;=1,IF(LARGE('Tournament Details'!C7:C86,1)&gt;=56,28,""),"")</f>
        <v/>
      </c>
      <c r="B57" s="42">
        <f t="shared" si="3"/>
        <v>0</v>
      </c>
      <c r="C57" s="139" t="str">
        <f t="shared" si="4"/>
        <v/>
      </c>
      <c r="D57" s="140" t="str">
        <f>'Tournament Details'!C61</f>
        <v/>
      </c>
      <c r="E57" s="44" t="str">
        <f t="shared" si="5"/>
        <v/>
      </c>
      <c r="F57" s="44" t="str">
        <f t="shared" si="6"/>
        <v/>
      </c>
      <c r="G57" s="23" t="str">
        <f>D58</f>
        <v/>
      </c>
      <c r="H57" s="25" t="str">
        <f>IF(D57="","",IF(VLOOKUP(D57,'Tournament Details'!$C:$G,5,FALSE)="",D57,VLOOKUP(D57,'Tournament Details'!$C:$G,5,FALSE)))</f>
        <v/>
      </c>
      <c r="I57" s="7" t="str">
        <f>IF(D57=0,"",IF(VLOOKUP(D57,'Tournament Details'!$C:$E,3,FALSE)&gt;0,VLOOKUP(D57,'Tournament Details'!$C:$E,3,FALSE),""))</f>
        <v/>
      </c>
      <c r="J57" s="121"/>
      <c r="K57" s="121"/>
      <c r="L57" s="23"/>
      <c r="M57" s="23"/>
      <c r="N57" s="23"/>
      <c r="O57" s="23"/>
      <c r="P57" s="184">
        <v>0</v>
      </c>
      <c r="Q57" s="183">
        <f t="shared" si="7"/>
        <v>0</v>
      </c>
      <c r="R57" s="135" t="str">
        <f t="shared" si="8"/>
        <v/>
      </c>
      <c r="S57" s="135" t="str">
        <f>IF(Q57="","",IF(Q57+Q58&lt;&gt;20,IF(Q57+Q58&lt;&gt;0,"!",""),""))</f>
        <v/>
      </c>
      <c r="T57" s="21" t="str">
        <f t="shared" si="9"/>
        <v/>
      </c>
      <c r="U57" s="132">
        <f>IF(D57="",0,VLOOKUP(D57,'Tournament Details'!$C:$X,22,FALSE))</f>
        <v>0</v>
      </c>
      <c r="V57" s="132">
        <f>IF(D57="",0,VLOOKUP(D57,'Tournament Details'!$C:$Y,23,FALSE))</f>
        <v>0</v>
      </c>
      <c r="W57" s="132">
        <f>IF(D57="",0,VLOOKUP(D57,'Tournament Details'!$C:$Z,24,FALSE))</f>
        <v>0</v>
      </c>
      <c r="X57" s="132">
        <f>IF(D57="",0,VLOOKUP(D57,'Tournament Details'!$C:$AA,25,FALSE))</f>
        <v>0</v>
      </c>
      <c r="Y57" s="40" t="str">
        <f>IF(D57="","",IF(COUNTIF(D:D,D57)&gt;1,"DUPLICATE PLAYER",IF(D58="","NO OPPONENT",IF(H57=H58,"SAME TEAM",""))))</f>
        <v/>
      </c>
    </row>
    <row r="58" spans="1:25" ht="15" customHeight="1" thickBot="1" x14ac:dyDescent="0.35">
      <c r="A58" s="224"/>
      <c r="B58" s="43">
        <f t="shared" si="3"/>
        <v>0</v>
      </c>
      <c r="C58" s="139" t="str">
        <f t="shared" si="4"/>
        <v/>
      </c>
      <c r="D58" s="141" t="str">
        <f>'Tournament Details'!C62</f>
        <v/>
      </c>
      <c r="E58" s="142" t="str">
        <f t="shared" si="5"/>
        <v/>
      </c>
      <c r="F58" s="142" t="str">
        <f t="shared" si="6"/>
        <v/>
      </c>
      <c r="G58" s="24" t="str">
        <f>D57</f>
        <v/>
      </c>
      <c r="H58" s="26" t="str">
        <f>IF(D58="","",IF(VLOOKUP(D58,'Tournament Details'!$C:$G,5,FALSE)="",D58,VLOOKUP(D58,'Tournament Details'!$C:$G,5,FALSE)))</f>
        <v/>
      </c>
      <c r="I58" s="12" t="str">
        <f>IF(D58=0,"",IF(VLOOKUP(D58,'Tournament Details'!$C:$E,3,FALSE)&gt;0,VLOOKUP(D58,'Tournament Details'!$C:$E,3,FALSE),""))</f>
        <v/>
      </c>
      <c r="J58" s="122"/>
      <c r="K58" s="122"/>
      <c r="L58" s="23"/>
      <c r="M58" s="24"/>
      <c r="N58" s="24"/>
      <c r="O58" s="24"/>
      <c r="P58" s="185">
        <v>0</v>
      </c>
      <c r="Q58" s="183">
        <f t="shared" si="7"/>
        <v>0</v>
      </c>
      <c r="R58" s="135" t="str">
        <f t="shared" si="8"/>
        <v/>
      </c>
      <c r="S58" s="135" t="str">
        <f>IF(Q58="","",IF(Q57+Q58&lt;&gt;20,IF(Q57+Q58&lt;&gt;0,"!",""),""))</f>
        <v/>
      </c>
      <c r="T58" s="21" t="str">
        <f t="shared" si="9"/>
        <v/>
      </c>
      <c r="U58" s="132">
        <f>IF(D58="",0,VLOOKUP(D58,'Tournament Details'!$C:$X,22,FALSE))</f>
        <v>0</v>
      </c>
      <c r="V58" s="132">
        <f>IF(D58="",0,VLOOKUP(D58,'Tournament Details'!$C:$Y,23,FALSE))</f>
        <v>0</v>
      </c>
      <c r="W58" s="132">
        <f>IF(D58="",0,VLOOKUP(D58,'Tournament Details'!$C:$Z,24,FALSE))</f>
        <v>0</v>
      </c>
      <c r="X58" s="132">
        <f>IF(D58="",0,VLOOKUP(D58,'Tournament Details'!$C:$AA,25,FALSE))</f>
        <v>0</v>
      </c>
      <c r="Y58" s="40" t="str">
        <f>IF(D58="","",IF(COUNTIF(D:D,D58)&gt;1,"DUPLICATE PLAYER",IF(D57="","NO OPPONENT",IF(H58=H57,"SAME TEAM",""))))</f>
        <v/>
      </c>
    </row>
    <row r="59" spans="1:25" ht="15" customHeight="1" thickBot="1" x14ac:dyDescent="0.35">
      <c r="A59" s="224" t="str">
        <f>IF('Tournament Details'!A1&gt;=1,IF(LARGE('Tournament Details'!C7:C86,1)&gt;=58,29,""),"")</f>
        <v/>
      </c>
      <c r="B59" s="42">
        <f t="shared" si="3"/>
        <v>0</v>
      </c>
      <c r="C59" s="139" t="str">
        <f t="shared" si="4"/>
        <v/>
      </c>
      <c r="D59" s="140" t="str">
        <f>'Tournament Details'!C63</f>
        <v/>
      </c>
      <c r="E59" s="44" t="str">
        <f t="shared" si="5"/>
        <v/>
      </c>
      <c r="F59" s="44" t="str">
        <f t="shared" si="6"/>
        <v/>
      </c>
      <c r="G59" s="23" t="str">
        <f>D60</f>
        <v/>
      </c>
      <c r="H59" s="25" t="str">
        <f>IF(D59="","",IF(VLOOKUP(D59,'Tournament Details'!$C:$G,5,FALSE)="",D59,VLOOKUP(D59,'Tournament Details'!$C:$G,5,FALSE)))</f>
        <v/>
      </c>
      <c r="I59" s="7" t="str">
        <f>IF(D59=0,"",IF(VLOOKUP(D59,'Tournament Details'!$C:$E,3,FALSE)&gt;0,VLOOKUP(D59,'Tournament Details'!$C:$E,3,FALSE),""))</f>
        <v/>
      </c>
      <c r="J59" s="121"/>
      <c r="K59" s="121"/>
      <c r="L59" s="23"/>
      <c r="M59" s="23"/>
      <c r="N59" s="23"/>
      <c r="O59" s="23"/>
      <c r="P59" s="184">
        <v>0</v>
      </c>
      <c r="Q59" s="183">
        <f t="shared" si="7"/>
        <v>0</v>
      </c>
      <c r="R59" s="135" t="str">
        <f t="shared" si="8"/>
        <v/>
      </c>
      <c r="S59" s="135" t="str">
        <f>IF(Q59="","",IF(Q59+Q60&lt;&gt;20,IF(Q59+Q60&lt;&gt;0,"!",""),""))</f>
        <v/>
      </c>
      <c r="T59" s="21" t="str">
        <f t="shared" si="9"/>
        <v/>
      </c>
      <c r="U59" s="132">
        <f>IF(D59="",0,VLOOKUP(D59,'Tournament Details'!$C:$X,22,FALSE))</f>
        <v>0</v>
      </c>
      <c r="V59" s="132">
        <f>IF(D59="",0,VLOOKUP(D59,'Tournament Details'!$C:$Y,23,FALSE))</f>
        <v>0</v>
      </c>
      <c r="W59" s="132">
        <f>IF(D59="",0,VLOOKUP(D59,'Tournament Details'!$C:$Z,24,FALSE))</f>
        <v>0</v>
      </c>
      <c r="X59" s="132">
        <f>IF(D59="",0,VLOOKUP(D59,'Tournament Details'!$C:$AA,25,FALSE))</f>
        <v>0</v>
      </c>
      <c r="Y59" s="40" t="str">
        <f>IF(D59="","",IF(COUNTIF(D:D,D59)&gt;1,"DUPLICATE PLAYER",IF(D60="","NO OPPONENT",IF(H59=H60,"SAME TEAM",""))))</f>
        <v/>
      </c>
    </row>
    <row r="60" spans="1:25" ht="15" customHeight="1" thickBot="1" x14ac:dyDescent="0.35">
      <c r="A60" s="224"/>
      <c r="B60" s="43">
        <f t="shared" si="3"/>
        <v>0</v>
      </c>
      <c r="C60" s="139" t="str">
        <f t="shared" si="4"/>
        <v/>
      </c>
      <c r="D60" s="141" t="str">
        <f>'Tournament Details'!C64</f>
        <v/>
      </c>
      <c r="E60" s="142" t="str">
        <f t="shared" si="5"/>
        <v/>
      </c>
      <c r="F60" s="142" t="str">
        <f t="shared" si="6"/>
        <v/>
      </c>
      <c r="G60" s="24" t="str">
        <f>D59</f>
        <v/>
      </c>
      <c r="H60" s="26" t="str">
        <f>IF(D60="","",IF(VLOOKUP(D60,'Tournament Details'!$C:$G,5,FALSE)="",D60,VLOOKUP(D60,'Tournament Details'!$C:$G,5,FALSE)))</f>
        <v/>
      </c>
      <c r="I60" s="12" t="str">
        <f>IF(D60=0,"",IF(VLOOKUP(D60,'Tournament Details'!$C:$E,3,FALSE)&gt;0,VLOOKUP(D60,'Tournament Details'!$C:$E,3,FALSE),""))</f>
        <v/>
      </c>
      <c r="J60" s="122"/>
      <c r="K60" s="122"/>
      <c r="L60" s="23"/>
      <c r="M60" s="24"/>
      <c r="N60" s="24"/>
      <c r="O60" s="24"/>
      <c r="P60" s="185">
        <v>0</v>
      </c>
      <c r="Q60" s="183">
        <f t="shared" si="7"/>
        <v>0</v>
      </c>
      <c r="R60" s="135" t="str">
        <f t="shared" si="8"/>
        <v/>
      </c>
      <c r="S60" s="135" t="str">
        <f>IF(Q60="","",IF(Q59+Q60&lt;&gt;20,IF(Q59+Q60&lt;&gt;0,"!",""),""))</f>
        <v/>
      </c>
      <c r="T60" s="21" t="str">
        <f t="shared" si="9"/>
        <v/>
      </c>
      <c r="U60" s="132">
        <f>IF(D60="",0,VLOOKUP(D60,'Tournament Details'!$C:$X,22,FALSE))</f>
        <v>0</v>
      </c>
      <c r="V60" s="132">
        <f>IF(D60="",0,VLOOKUP(D60,'Tournament Details'!$C:$Y,23,FALSE))</f>
        <v>0</v>
      </c>
      <c r="W60" s="132">
        <f>IF(D60="",0,VLOOKUP(D60,'Tournament Details'!$C:$Z,24,FALSE))</f>
        <v>0</v>
      </c>
      <c r="X60" s="132">
        <f>IF(D60="",0,VLOOKUP(D60,'Tournament Details'!$C:$AA,25,FALSE))</f>
        <v>0</v>
      </c>
      <c r="Y60" s="40" t="str">
        <f>IF(D60="","",IF(COUNTIF(D:D,D60)&gt;1,"DUPLICATE PLAYER",IF(D59="","NO OPPONENT",IF(H60=H59,"SAME TEAM",""))))</f>
        <v/>
      </c>
    </row>
    <row r="61" spans="1:25" ht="15" customHeight="1" thickBot="1" x14ac:dyDescent="0.35">
      <c r="A61" s="224" t="str">
        <f>IF('Tournament Details'!A1&gt;=1,IF(LARGE('Tournament Details'!C7:C86,1)&gt;=60,30,""),"")</f>
        <v/>
      </c>
      <c r="B61" s="42">
        <f t="shared" si="3"/>
        <v>0</v>
      </c>
      <c r="C61" s="139" t="str">
        <f t="shared" si="4"/>
        <v/>
      </c>
      <c r="D61" s="140" t="str">
        <f>'Tournament Details'!C65</f>
        <v/>
      </c>
      <c r="E61" s="44" t="str">
        <f t="shared" si="5"/>
        <v/>
      </c>
      <c r="F61" s="44" t="str">
        <f t="shared" si="6"/>
        <v/>
      </c>
      <c r="G61" s="23" t="str">
        <f>D62</f>
        <v/>
      </c>
      <c r="H61" s="25" t="str">
        <f>IF(D61="","",IF(VLOOKUP(D61,'Tournament Details'!$C:$G,5,FALSE)="",D61,VLOOKUP(D61,'Tournament Details'!$C:$G,5,FALSE)))</f>
        <v/>
      </c>
      <c r="I61" s="7" t="str">
        <f>IF(D61=0,"",IF(VLOOKUP(D61,'Tournament Details'!$C:$E,3,FALSE)&gt;0,VLOOKUP(D61,'Tournament Details'!$C:$E,3,FALSE),""))</f>
        <v/>
      </c>
      <c r="J61" s="121"/>
      <c r="K61" s="121"/>
      <c r="L61" s="23"/>
      <c r="M61" s="23"/>
      <c r="N61" s="23"/>
      <c r="O61" s="23"/>
      <c r="P61" s="184">
        <v>0</v>
      </c>
      <c r="Q61" s="183">
        <f t="shared" si="7"/>
        <v>0</v>
      </c>
      <c r="R61" s="135" t="str">
        <f t="shared" si="8"/>
        <v/>
      </c>
      <c r="S61" s="135" t="str">
        <f>IF(Q61="","",IF(Q61+Q62&lt;&gt;20,IF(Q61+Q62&lt;&gt;0,"!",""),""))</f>
        <v/>
      </c>
      <c r="T61" s="21" t="str">
        <f t="shared" si="9"/>
        <v/>
      </c>
      <c r="U61" s="132">
        <f>IF(D61="",0,VLOOKUP(D61,'Tournament Details'!$C:$X,22,FALSE))</f>
        <v>0</v>
      </c>
      <c r="V61" s="132">
        <f>IF(D61="",0,VLOOKUP(D61,'Tournament Details'!$C:$Y,23,FALSE))</f>
        <v>0</v>
      </c>
      <c r="W61" s="132">
        <f>IF(D61="",0,VLOOKUP(D61,'Tournament Details'!$C:$Z,24,FALSE))</f>
        <v>0</v>
      </c>
      <c r="X61" s="132">
        <f>IF(D61="",0,VLOOKUP(D61,'Tournament Details'!$C:$AA,25,FALSE))</f>
        <v>0</v>
      </c>
      <c r="Y61" s="40" t="str">
        <f>IF(D61="","",IF(COUNTIF(D:D,D61)&gt;1,"DUPLICATE PLAYER",IF(D62="","NO OPPONENT",IF(H61=H62,"SAME TEAM",""))))</f>
        <v/>
      </c>
    </row>
    <row r="62" spans="1:25" ht="15" customHeight="1" thickBot="1" x14ac:dyDescent="0.35">
      <c r="A62" s="224"/>
      <c r="B62" s="43">
        <f t="shared" si="3"/>
        <v>0</v>
      </c>
      <c r="C62" s="139" t="str">
        <f t="shared" si="4"/>
        <v/>
      </c>
      <c r="D62" s="141" t="str">
        <f>'Tournament Details'!C66</f>
        <v/>
      </c>
      <c r="E62" s="142" t="str">
        <f t="shared" si="5"/>
        <v/>
      </c>
      <c r="F62" s="142" t="str">
        <f t="shared" si="6"/>
        <v/>
      </c>
      <c r="G62" s="24" t="str">
        <f>D61</f>
        <v/>
      </c>
      <c r="H62" s="26" t="str">
        <f>IF(D62="","",IF(VLOOKUP(D62,'Tournament Details'!$C:$G,5,FALSE)="",D62,VLOOKUP(D62,'Tournament Details'!$C:$G,5,FALSE)))</f>
        <v/>
      </c>
      <c r="I62" s="12" t="str">
        <f>IF(D62=0,"",IF(VLOOKUP(D62,'Tournament Details'!$C:$E,3,FALSE)&gt;0,VLOOKUP(D62,'Tournament Details'!$C:$E,3,FALSE),""))</f>
        <v/>
      </c>
      <c r="J62" s="122"/>
      <c r="K62" s="122"/>
      <c r="L62" s="23"/>
      <c r="M62" s="24"/>
      <c r="N62" s="24"/>
      <c r="O62" s="24"/>
      <c r="P62" s="185">
        <v>0</v>
      </c>
      <c r="Q62" s="183">
        <f t="shared" si="7"/>
        <v>0</v>
      </c>
      <c r="R62" s="135" t="str">
        <f t="shared" si="8"/>
        <v/>
      </c>
      <c r="S62" s="135" t="str">
        <f>IF(Q62="","",IF(Q61+Q62&lt;&gt;20,IF(Q61+Q62&lt;&gt;0,"!",""),""))</f>
        <v/>
      </c>
      <c r="T62" s="21" t="str">
        <f t="shared" si="9"/>
        <v/>
      </c>
      <c r="U62" s="132">
        <f>IF(D62="",0,VLOOKUP(D62,'Tournament Details'!$C:$X,22,FALSE))</f>
        <v>0</v>
      </c>
      <c r="V62" s="132">
        <f>IF(D62="",0,VLOOKUP(D62,'Tournament Details'!$C:$Y,23,FALSE))</f>
        <v>0</v>
      </c>
      <c r="W62" s="132">
        <f>IF(D62="",0,VLOOKUP(D62,'Tournament Details'!$C:$Z,24,FALSE))</f>
        <v>0</v>
      </c>
      <c r="X62" s="132">
        <f>IF(D62="",0,VLOOKUP(D62,'Tournament Details'!$C:$AA,25,FALSE))</f>
        <v>0</v>
      </c>
      <c r="Y62" s="40" t="str">
        <f>IF(D62="","",IF(COUNTIF(D:D,D62)&gt;1,"DUPLICATE PLAYER",IF(D61="","NO OPPONENT",IF(H62=H61,"SAME TEAM",""))))</f>
        <v/>
      </c>
    </row>
    <row r="63" spans="1:25" ht="15" customHeight="1" thickBot="1" x14ac:dyDescent="0.35">
      <c r="A63" s="224" t="str">
        <f>IF('Tournament Details'!A1&gt;=1,IF(LARGE('Tournament Details'!C7:C86,1)&gt;=62,31,""),"")</f>
        <v/>
      </c>
      <c r="B63" s="42">
        <f t="shared" si="3"/>
        <v>0</v>
      </c>
      <c r="C63" s="139" t="str">
        <f t="shared" si="4"/>
        <v/>
      </c>
      <c r="D63" s="140" t="str">
        <f>'Tournament Details'!C67</f>
        <v/>
      </c>
      <c r="E63" s="44" t="str">
        <f t="shared" si="5"/>
        <v/>
      </c>
      <c r="F63" s="44" t="str">
        <f t="shared" si="6"/>
        <v/>
      </c>
      <c r="G63" s="23" t="str">
        <f>D64</f>
        <v/>
      </c>
      <c r="H63" s="25" t="str">
        <f>IF(D63="","",IF(VLOOKUP(D63,'Tournament Details'!$C:$G,5,FALSE)="",D63,VLOOKUP(D63,'Tournament Details'!$C:$G,5,FALSE)))</f>
        <v/>
      </c>
      <c r="I63" s="7" t="str">
        <f>IF(D63=0,"",IF(VLOOKUP(D63,'Tournament Details'!$C:$E,3,FALSE)&gt;0,VLOOKUP(D63,'Tournament Details'!$C:$E,3,FALSE),""))</f>
        <v/>
      </c>
      <c r="J63" s="121"/>
      <c r="K63" s="121"/>
      <c r="L63" s="23"/>
      <c r="M63" s="23"/>
      <c r="N63" s="23"/>
      <c r="O63" s="23"/>
      <c r="P63" s="184">
        <v>0</v>
      </c>
      <c r="Q63" s="183">
        <f t="shared" si="7"/>
        <v>0</v>
      </c>
      <c r="R63" s="135" t="str">
        <f t="shared" si="8"/>
        <v/>
      </c>
      <c r="S63" s="135" t="str">
        <f>IF(Q63="","",IF(Q63+Q64&lt;&gt;20,IF(Q63+Q64&lt;&gt;0,"!",""),""))</f>
        <v/>
      </c>
      <c r="T63" s="21" t="str">
        <f t="shared" si="9"/>
        <v/>
      </c>
      <c r="U63" s="132">
        <f>IF(D63="",0,VLOOKUP(D63,'Tournament Details'!$C:$X,22,FALSE))</f>
        <v>0</v>
      </c>
      <c r="V63" s="132">
        <f>IF(D63="",0,VLOOKUP(D63,'Tournament Details'!$C:$Y,23,FALSE))</f>
        <v>0</v>
      </c>
      <c r="W63" s="132">
        <f>IF(D63="",0,VLOOKUP(D63,'Tournament Details'!$C:$Z,24,FALSE))</f>
        <v>0</v>
      </c>
      <c r="X63" s="132">
        <f>IF(D63="",0,VLOOKUP(D63,'Tournament Details'!$C:$AA,25,FALSE))</f>
        <v>0</v>
      </c>
      <c r="Y63" s="40" t="str">
        <f>IF(D63="","",IF(COUNTIF(D:D,D63)&gt;1,"DUPLICATE PLAYER",IF(D64="","NO OPPONENT",IF(H63=H64,"SAME TEAM",""))))</f>
        <v/>
      </c>
    </row>
    <row r="64" spans="1:25" ht="15" customHeight="1" thickBot="1" x14ac:dyDescent="0.35">
      <c r="A64" s="224"/>
      <c r="B64" s="43">
        <f t="shared" si="3"/>
        <v>0</v>
      </c>
      <c r="C64" s="139" t="str">
        <f t="shared" si="4"/>
        <v/>
      </c>
      <c r="D64" s="141" t="str">
        <f>'Tournament Details'!C68</f>
        <v/>
      </c>
      <c r="E64" s="142" t="str">
        <f t="shared" si="5"/>
        <v/>
      </c>
      <c r="F64" s="142" t="str">
        <f t="shared" si="6"/>
        <v/>
      </c>
      <c r="G64" s="24" t="str">
        <f>D63</f>
        <v/>
      </c>
      <c r="H64" s="26" t="str">
        <f>IF(D64="","",IF(VLOOKUP(D64,'Tournament Details'!$C:$G,5,FALSE)="",D64,VLOOKUP(D64,'Tournament Details'!$C:$G,5,FALSE)))</f>
        <v/>
      </c>
      <c r="I64" s="12" t="str">
        <f>IF(D64=0,"",IF(VLOOKUP(D64,'Tournament Details'!$C:$E,3,FALSE)&gt;0,VLOOKUP(D64,'Tournament Details'!$C:$E,3,FALSE),""))</f>
        <v/>
      </c>
      <c r="J64" s="122"/>
      <c r="K64" s="122"/>
      <c r="L64" s="23"/>
      <c r="M64" s="24"/>
      <c r="N64" s="24"/>
      <c r="O64" s="24"/>
      <c r="P64" s="185">
        <v>0</v>
      </c>
      <c r="Q64" s="183">
        <f t="shared" si="7"/>
        <v>0</v>
      </c>
      <c r="R64" s="135" t="str">
        <f t="shared" si="8"/>
        <v/>
      </c>
      <c r="S64" s="135" t="str">
        <f>IF(Q64="","",IF(Q63+Q64&lt;&gt;20,IF(Q63+Q64&lt;&gt;0,"!",""),""))</f>
        <v/>
      </c>
      <c r="T64" s="21" t="str">
        <f t="shared" si="9"/>
        <v/>
      </c>
      <c r="U64" s="132">
        <f>IF(D64="",0,VLOOKUP(D64,'Tournament Details'!$C:$X,22,FALSE))</f>
        <v>0</v>
      </c>
      <c r="V64" s="132">
        <f>IF(D64="",0,VLOOKUP(D64,'Tournament Details'!$C:$Y,23,FALSE))</f>
        <v>0</v>
      </c>
      <c r="W64" s="132">
        <f>IF(D64="",0,VLOOKUP(D64,'Tournament Details'!$C:$Z,24,FALSE))</f>
        <v>0</v>
      </c>
      <c r="X64" s="132">
        <f>IF(D64="",0,VLOOKUP(D64,'Tournament Details'!$C:$AA,25,FALSE))</f>
        <v>0</v>
      </c>
      <c r="Y64" s="40" t="str">
        <f>IF(D64="","",IF(COUNTIF(D:D,D64)&gt;1,"DUPLICATE PLAYER",IF(D63="","NO OPPONENT",IF(H64=H63,"SAME TEAM",""))))</f>
        <v/>
      </c>
    </row>
    <row r="65" spans="1:25" ht="15" customHeight="1" thickBot="1" x14ac:dyDescent="0.35">
      <c r="A65" s="224" t="str">
        <f>IF('Tournament Details'!A1&gt;=1,IF(LARGE('Tournament Details'!C7:C86,1)&gt;=64,32,""),"")</f>
        <v/>
      </c>
      <c r="B65" s="42">
        <f t="shared" si="3"/>
        <v>0</v>
      </c>
      <c r="C65" s="139" t="str">
        <f t="shared" si="4"/>
        <v/>
      </c>
      <c r="D65" s="140" t="str">
        <f>'Tournament Details'!C69</f>
        <v/>
      </c>
      <c r="E65" s="44" t="str">
        <f t="shared" si="5"/>
        <v/>
      </c>
      <c r="F65" s="44" t="str">
        <f t="shared" si="6"/>
        <v/>
      </c>
      <c r="G65" s="23" t="str">
        <f>D66</f>
        <v/>
      </c>
      <c r="H65" s="25" t="str">
        <f>IF(D65="","",IF(VLOOKUP(D65,'Tournament Details'!$C:$G,5,FALSE)="",D65,VLOOKUP(D65,'Tournament Details'!$C:$G,5,FALSE)))</f>
        <v/>
      </c>
      <c r="I65" s="7" t="str">
        <f>IF(D65=0,"",IF(VLOOKUP(D65,'Tournament Details'!$C:$E,3,FALSE)&gt;0,VLOOKUP(D65,'Tournament Details'!$C:$E,3,FALSE),""))</f>
        <v/>
      </c>
      <c r="J65" s="121"/>
      <c r="K65" s="121"/>
      <c r="L65" s="23"/>
      <c r="M65" s="23"/>
      <c r="N65" s="23"/>
      <c r="O65" s="23"/>
      <c r="P65" s="184">
        <v>0</v>
      </c>
      <c r="Q65" s="183">
        <f t="shared" si="7"/>
        <v>0</v>
      </c>
      <c r="R65" s="135" t="str">
        <f t="shared" si="8"/>
        <v/>
      </c>
      <c r="S65" s="135" t="str">
        <f>IF(Q65="","",IF(Q65+Q66&lt;&gt;20,IF(Q65+Q66&lt;&gt;0,"!",""),""))</f>
        <v/>
      </c>
      <c r="T65" s="21" t="str">
        <f t="shared" si="9"/>
        <v/>
      </c>
      <c r="U65" s="132">
        <f>IF(D65="",0,VLOOKUP(D65,'Tournament Details'!$C:$X,22,FALSE))</f>
        <v>0</v>
      </c>
      <c r="V65" s="132">
        <f>IF(D65="",0,VLOOKUP(D65,'Tournament Details'!$C:$Y,23,FALSE))</f>
        <v>0</v>
      </c>
      <c r="W65" s="132">
        <f>IF(D65="",0,VLOOKUP(D65,'Tournament Details'!$C:$Z,24,FALSE))</f>
        <v>0</v>
      </c>
      <c r="X65" s="132">
        <f>IF(D65="",0,VLOOKUP(D65,'Tournament Details'!$C:$AA,25,FALSE))</f>
        <v>0</v>
      </c>
      <c r="Y65" s="40" t="str">
        <f>IF(D65="","",IF(COUNTIF(D:D,D65)&gt;1,"DUPLICATE PLAYER",IF(D66="","NO OPPONENT",IF(H65=H66,"SAME TEAM",""))))</f>
        <v/>
      </c>
    </row>
    <row r="66" spans="1:25" ht="15" customHeight="1" thickBot="1" x14ac:dyDescent="0.35">
      <c r="A66" s="224"/>
      <c r="B66" s="43">
        <f t="shared" si="3"/>
        <v>0</v>
      </c>
      <c r="C66" s="139" t="str">
        <f t="shared" si="4"/>
        <v/>
      </c>
      <c r="D66" s="141" t="str">
        <f>'Tournament Details'!C70</f>
        <v/>
      </c>
      <c r="E66" s="142" t="str">
        <f t="shared" si="5"/>
        <v/>
      </c>
      <c r="F66" s="142" t="str">
        <f t="shared" si="6"/>
        <v/>
      </c>
      <c r="G66" s="24" t="str">
        <f>D65</f>
        <v/>
      </c>
      <c r="H66" s="26" t="str">
        <f>IF(D66="","",IF(VLOOKUP(D66,'Tournament Details'!$C:$G,5,FALSE)="",D66,VLOOKUP(D66,'Tournament Details'!$C:$G,5,FALSE)))</f>
        <v/>
      </c>
      <c r="I66" s="12" t="str">
        <f>IF(D66=0,"",IF(VLOOKUP(D66,'Tournament Details'!$C:$E,3,FALSE)&gt;0,VLOOKUP(D66,'Tournament Details'!$C:$E,3,FALSE),""))</f>
        <v/>
      </c>
      <c r="J66" s="122"/>
      <c r="K66" s="122"/>
      <c r="L66" s="23"/>
      <c r="M66" s="24"/>
      <c r="N66" s="24"/>
      <c r="O66" s="24"/>
      <c r="P66" s="185">
        <v>0</v>
      </c>
      <c r="Q66" s="183">
        <f t="shared" si="7"/>
        <v>0</v>
      </c>
      <c r="R66" s="135" t="str">
        <f t="shared" si="8"/>
        <v/>
      </c>
      <c r="S66" s="135" t="str">
        <f>IF(Q66="","",IF(Q65+Q66&lt;&gt;20,IF(Q65+Q66&lt;&gt;0,"!",""),""))</f>
        <v/>
      </c>
      <c r="T66" s="21" t="str">
        <f t="shared" si="9"/>
        <v/>
      </c>
      <c r="U66" s="132">
        <f>IF(D66="",0,VLOOKUP(D66,'Tournament Details'!$C:$X,22,FALSE))</f>
        <v>0</v>
      </c>
      <c r="V66" s="132">
        <f>IF(D66="",0,VLOOKUP(D66,'Tournament Details'!$C:$Y,23,FALSE))</f>
        <v>0</v>
      </c>
      <c r="W66" s="132">
        <f>IF(D66="",0,VLOOKUP(D66,'Tournament Details'!$C:$Z,24,FALSE))</f>
        <v>0</v>
      </c>
      <c r="X66" s="132">
        <f>IF(D66="",0,VLOOKUP(D66,'Tournament Details'!$C:$AA,25,FALSE))</f>
        <v>0</v>
      </c>
      <c r="Y66" s="40" t="str">
        <f>IF(D66="","",IF(COUNTIF(D:D,D66)&gt;1,"DUPLICATE PLAYER",IF(D65="","NO OPPONENT",IF(H66=H65,"SAME TEAM",""))))</f>
        <v/>
      </c>
    </row>
    <row r="67" spans="1:25" ht="15" customHeight="1" thickBot="1" x14ac:dyDescent="0.35">
      <c r="A67" s="224" t="str">
        <f>IF('Tournament Details'!A1&gt;=1,IF(LARGE('Tournament Details'!C7:C86,1)&gt;=66,33,""),"")</f>
        <v/>
      </c>
      <c r="B67" s="42">
        <f t="shared" si="3"/>
        <v>0</v>
      </c>
      <c r="C67" s="139" t="str">
        <f t="shared" si="4"/>
        <v/>
      </c>
      <c r="D67" s="140" t="str">
        <f>'Tournament Details'!C71</f>
        <v/>
      </c>
      <c r="E67" s="44" t="str">
        <f t="shared" si="5"/>
        <v/>
      </c>
      <c r="F67" s="44" t="str">
        <f t="shared" si="6"/>
        <v/>
      </c>
      <c r="G67" s="23" t="str">
        <f>D68</f>
        <v/>
      </c>
      <c r="H67" s="25" t="str">
        <f>IF(D67="","",IF(VLOOKUP(D67,'Tournament Details'!$C:$G,5,FALSE)="",D67,VLOOKUP(D67,'Tournament Details'!$C:$G,5,FALSE)))</f>
        <v/>
      </c>
      <c r="I67" s="7" t="str">
        <f>IF(D67=0,"",IF(VLOOKUP(D67,'Tournament Details'!$C:$E,3,FALSE)&gt;0,VLOOKUP(D67,'Tournament Details'!$C:$E,3,FALSE),""))</f>
        <v/>
      </c>
      <c r="J67" s="121"/>
      <c r="K67" s="121"/>
      <c r="L67" s="23"/>
      <c r="M67" s="23"/>
      <c r="N67" s="23"/>
      <c r="O67" s="23"/>
      <c r="P67" s="184">
        <v>0</v>
      </c>
      <c r="Q67" s="183">
        <f t="shared" ref="Q67:Q82" si="10">IF(P67="",0,P67)</f>
        <v>0</v>
      </c>
      <c r="R67" s="135" t="str">
        <f t="shared" ref="R67:R82" si="11">IF(J67="","",IF(J67&gt;16,"!",IF(J67&lt;4,"!","")))</f>
        <v/>
      </c>
      <c r="S67" s="135" t="str">
        <f>IF(Q67="","",IF(Q67+Q68&lt;&gt;20,IF(Q67+Q68&lt;&gt;0,"!",""),""))</f>
        <v/>
      </c>
      <c r="T67" s="21" t="str">
        <f t="shared" ref="T67:T82" si="12">IF(R67="!","!",IF(S67="!","!",""))</f>
        <v/>
      </c>
      <c r="U67" s="132">
        <f>IF(D67="",0,VLOOKUP(D67,'Tournament Details'!$C:$X,22,FALSE))</f>
        <v>0</v>
      </c>
      <c r="V67" s="132">
        <f>IF(D67="",0,VLOOKUP(D67,'Tournament Details'!$C:$Y,23,FALSE))</f>
        <v>0</v>
      </c>
      <c r="W67" s="132">
        <f>IF(D67="",0,VLOOKUP(D67,'Tournament Details'!$C:$Z,24,FALSE))</f>
        <v>0</v>
      </c>
      <c r="X67" s="132">
        <f>IF(D67="",0,VLOOKUP(D67,'Tournament Details'!$C:$AA,25,FALSE))</f>
        <v>0</v>
      </c>
      <c r="Y67" s="40" t="str">
        <f>IF(D67="","",IF(COUNTIF(D:D,D67)&gt;1,"DUPLICATE PLAYER",IF(D68="","NO OPPONENT",IF(H67=H68,"SAME TEAM",""))))</f>
        <v/>
      </c>
    </row>
    <row r="68" spans="1:25" ht="15" customHeight="1" thickBot="1" x14ac:dyDescent="0.35">
      <c r="A68" s="224"/>
      <c r="B68" s="43">
        <f t="shared" ref="B68:B82" si="13">IF(Q68="","",(Q68*10000)+K68)</f>
        <v>0</v>
      </c>
      <c r="C68" s="139" t="str">
        <f t="shared" ref="C68:C82" si="14">IF(D68="","",IF(COUNTIF(E:E,E68)=1,RANK(E68,E:E),RANK(F68,F:F)))</f>
        <v/>
      </c>
      <c r="D68" s="141" t="str">
        <f>'Tournament Details'!C72</f>
        <v/>
      </c>
      <c r="E68" s="142" t="str">
        <f t="shared" ref="E68:E82" si="15">IF(D68="","",B68)</f>
        <v/>
      </c>
      <c r="F68" s="142" t="str">
        <f t="shared" ref="F68:F82" si="16">IF(D68="","",(LARGE(D:D,1)+1-D68)+E68)</f>
        <v/>
      </c>
      <c r="G68" s="24" t="str">
        <f>D67</f>
        <v/>
      </c>
      <c r="H68" s="26" t="str">
        <f>IF(D68="","",IF(VLOOKUP(D68,'Tournament Details'!$C:$G,5,FALSE)="",D68,VLOOKUP(D68,'Tournament Details'!$C:$G,5,FALSE)))</f>
        <v/>
      </c>
      <c r="I68" s="12" t="str">
        <f>IF(D68=0,"",IF(VLOOKUP(D68,'Tournament Details'!$C:$E,3,FALSE)&gt;0,VLOOKUP(D68,'Tournament Details'!$C:$E,3,FALSE),""))</f>
        <v/>
      </c>
      <c r="J68" s="122"/>
      <c r="K68" s="122"/>
      <c r="L68" s="23"/>
      <c r="M68" s="24"/>
      <c r="N68" s="24"/>
      <c r="O68" s="24"/>
      <c r="P68" s="185">
        <v>0</v>
      </c>
      <c r="Q68" s="183">
        <f t="shared" si="10"/>
        <v>0</v>
      </c>
      <c r="R68" s="135" t="str">
        <f t="shared" si="11"/>
        <v/>
      </c>
      <c r="S68" s="135" t="str">
        <f>IF(Q68="","",IF(Q67+Q68&lt;&gt;20,IF(Q67+Q68&lt;&gt;0,"!",""),""))</f>
        <v/>
      </c>
      <c r="T68" s="21" t="str">
        <f t="shared" si="12"/>
        <v/>
      </c>
      <c r="U68" s="132">
        <f>IF(D68="",0,VLOOKUP(D68,'Tournament Details'!$C:$X,22,FALSE))</f>
        <v>0</v>
      </c>
      <c r="V68" s="132">
        <f>IF(D68="",0,VLOOKUP(D68,'Tournament Details'!$C:$Y,23,FALSE))</f>
        <v>0</v>
      </c>
      <c r="W68" s="132">
        <f>IF(D68="",0,VLOOKUP(D68,'Tournament Details'!$C:$Z,24,FALSE))</f>
        <v>0</v>
      </c>
      <c r="X68" s="132">
        <f>IF(D68="",0,VLOOKUP(D68,'Tournament Details'!$C:$AA,25,FALSE))</f>
        <v>0</v>
      </c>
      <c r="Y68" s="40" t="str">
        <f>IF(D68="","",IF(COUNTIF(D:D,D68)&gt;1,"DUPLICATE PLAYER",IF(D67="","NO OPPONENT",IF(H68=H67,"SAME TEAM",""))))</f>
        <v/>
      </c>
    </row>
    <row r="69" spans="1:25" ht="15" customHeight="1" thickBot="1" x14ac:dyDescent="0.35">
      <c r="A69" s="224" t="str">
        <f>IF('Tournament Details'!A1&gt;=1,IF(LARGE('Tournament Details'!C7:C86,1)&gt;=68,34,""),"")</f>
        <v/>
      </c>
      <c r="B69" s="42">
        <f t="shared" si="13"/>
        <v>0</v>
      </c>
      <c r="C69" s="139" t="str">
        <f t="shared" si="14"/>
        <v/>
      </c>
      <c r="D69" s="140" t="str">
        <f>'Tournament Details'!C73</f>
        <v/>
      </c>
      <c r="E69" s="44" t="str">
        <f t="shared" si="15"/>
        <v/>
      </c>
      <c r="F69" s="44" t="str">
        <f t="shared" si="16"/>
        <v/>
      </c>
      <c r="G69" s="23" t="str">
        <f>D70</f>
        <v/>
      </c>
      <c r="H69" s="25" t="str">
        <f>IF(D69="","",IF(VLOOKUP(D69,'Tournament Details'!$C:$G,5,FALSE)="",D69,VLOOKUP(D69,'Tournament Details'!$C:$G,5,FALSE)))</f>
        <v/>
      </c>
      <c r="I69" s="7" t="str">
        <f>IF(D69=0,"",IF(VLOOKUP(D69,'Tournament Details'!$C:$E,3,FALSE)&gt;0,VLOOKUP(D69,'Tournament Details'!$C:$E,3,FALSE),""))</f>
        <v/>
      </c>
      <c r="J69" s="121"/>
      <c r="K69" s="121"/>
      <c r="L69" s="23"/>
      <c r="M69" s="23"/>
      <c r="N69" s="23"/>
      <c r="O69" s="23"/>
      <c r="P69" s="184">
        <v>0</v>
      </c>
      <c r="Q69" s="183">
        <f t="shared" si="10"/>
        <v>0</v>
      </c>
      <c r="R69" s="135" t="str">
        <f t="shared" si="11"/>
        <v/>
      </c>
      <c r="S69" s="135" t="str">
        <f>IF(Q69="","",IF(Q69+Q70&lt;&gt;20,IF(Q69+Q70&lt;&gt;0,"!",""),""))</f>
        <v/>
      </c>
      <c r="T69" s="21" t="str">
        <f t="shared" si="12"/>
        <v/>
      </c>
      <c r="U69" s="132">
        <f>IF(D69="",0,VLOOKUP(D69,'Tournament Details'!$C:$X,22,FALSE))</f>
        <v>0</v>
      </c>
      <c r="V69" s="132">
        <f>IF(D69="",0,VLOOKUP(D69,'Tournament Details'!$C:$Y,23,FALSE))</f>
        <v>0</v>
      </c>
      <c r="W69" s="132">
        <f>IF(D69="",0,VLOOKUP(D69,'Tournament Details'!$C:$Z,24,FALSE))</f>
        <v>0</v>
      </c>
      <c r="X69" s="132">
        <f>IF(D69="",0,VLOOKUP(D69,'Tournament Details'!$C:$AA,25,FALSE))</f>
        <v>0</v>
      </c>
      <c r="Y69" s="40" t="str">
        <f>IF(D69="","",IF(COUNTIF(D:D,D69)&gt;1,"DUPLICATE PLAYER",IF(D70="","NO OPPONENT",IF(H69=H70,"SAME TEAM",""))))</f>
        <v/>
      </c>
    </row>
    <row r="70" spans="1:25" ht="15" customHeight="1" thickBot="1" x14ac:dyDescent="0.35">
      <c r="A70" s="224"/>
      <c r="B70" s="43">
        <f t="shared" si="13"/>
        <v>0</v>
      </c>
      <c r="C70" s="139" t="str">
        <f t="shared" si="14"/>
        <v/>
      </c>
      <c r="D70" s="141" t="str">
        <f>'Tournament Details'!C74</f>
        <v/>
      </c>
      <c r="E70" s="142" t="str">
        <f t="shared" si="15"/>
        <v/>
      </c>
      <c r="F70" s="142" t="str">
        <f t="shared" si="16"/>
        <v/>
      </c>
      <c r="G70" s="24" t="str">
        <f>D69</f>
        <v/>
      </c>
      <c r="H70" s="26" t="str">
        <f>IF(D70="","",IF(VLOOKUP(D70,'Tournament Details'!$C:$G,5,FALSE)="",D70,VLOOKUP(D70,'Tournament Details'!$C:$G,5,FALSE)))</f>
        <v/>
      </c>
      <c r="I70" s="12" t="str">
        <f>IF(D70=0,"",IF(VLOOKUP(D70,'Tournament Details'!$C:$E,3,FALSE)&gt;0,VLOOKUP(D70,'Tournament Details'!$C:$E,3,FALSE),""))</f>
        <v/>
      </c>
      <c r="J70" s="122"/>
      <c r="K70" s="122"/>
      <c r="L70" s="23"/>
      <c r="M70" s="24"/>
      <c r="N70" s="24"/>
      <c r="O70" s="24"/>
      <c r="P70" s="185">
        <v>0</v>
      </c>
      <c r="Q70" s="183">
        <f t="shared" si="10"/>
        <v>0</v>
      </c>
      <c r="R70" s="135" t="str">
        <f t="shared" si="11"/>
        <v/>
      </c>
      <c r="S70" s="135" t="str">
        <f>IF(Q70="","",IF(Q69+Q70&lt;&gt;20,IF(Q69+Q70&lt;&gt;0,"!",""),""))</f>
        <v/>
      </c>
      <c r="T70" s="21" t="str">
        <f t="shared" si="12"/>
        <v/>
      </c>
      <c r="U70" s="132">
        <f>IF(D70="",0,VLOOKUP(D70,'Tournament Details'!$C:$X,22,FALSE))</f>
        <v>0</v>
      </c>
      <c r="V70" s="132">
        <f>IF(D70="",0,VLOOKUP(D70,'Tournament Details'!$C:$Y,23,FALSE))</f>
        <v>0</v>
      </c>
      <c r="W70" s="132">
        <f>IF(D70="",0,VLOOKUP(D70,'Tournament Details'!$C:$Z,24,FALSE))</f>
        <v>0</v>
      </c>
      <c r="X70" s="132">
        <f>IF(D70="",0,VLOOKUP(D70,'Tournament Details'!$C:$AA,25,FALSE))</f>
        <v>0</v>
      </c>
      <c r="Y70" s="40" t="str">
        <f>IF(D70="","",IF(COUNTIF(D:D,D70)&gt;1,"DUPLICATE PLAYER",IF(D69="","NO OPPONENT",IF(H70=H69,"SAME TEAM",""))))</f>
        <v/>
      </c>
    </row>
    <row r="71" spans="1:25" ht="15" customHeight="1" thickBot="1" x14ac:dyDescent="0.35">
      <c r="A71" s="224" t="str">
        <f>IF('Tournament Details'!A1&gt;=1,IF(LARGE('Tournament Details'!C7:C86,1)&gt;=70,35,""),"")</f>
        <v/>
      </c>
      <c r="B71" s="42">
        <f t="shared" si="13"/>
        <v>0</v>
      </c>
      <c r="C71" s="139" t="str">
        <f t="shared" si="14"/>
        <v/>
      </c>
      <c r="D71" s="140" t="str">
        <f>'Tournament Details'!C75</f>
        <v/>
      </c>
      <c r="E71" s="44" t="str">
        <f t="shared" si="15"/>
        <v/>
      </c>
      <c r="F71" s="44" t="str">
        <f t="shared" si="16"/>
        <v/>
      </c>
      <c r="G71" s="23" t="str">
        <f>D72</f>
        <v/>
      </c>
      <c r="H71" s="25" t="str">
        <f>IF(D71="","",IF(VLOOKUP(D71,'Tournament Details'!$C:$G,5,FALSE)="",D71,VLOOKUP(D71,'Tournament Details'!$C:$G,5,FALSE)))</f>
        <v/>
      </c>
      <c r="I71" s="7" t="str">
        <f>IF(D71=0,"",IF(VLOOKUP(D71,'Tournament Details'!$C:$E,3,FALSE)&gt;0,VLOOKUP(D71,'Tournament Details'!$C:$E,3,FALSE),""))</f>
        <v/>
      </c>
      <c r="J71" s="121"/>
      <c r="K71" s="121"/>
      <c r="L71" s="23"/>
      <c r="M71" s="23"/>
      <c r="N71" s="23"/>
      <c r="O71" s="23"/>
      <c r="P71" s="184">
        <v>0</v>
      </c>
      <c r="Q71" s="183">
        <f t="shared" si="10"/>
        <v>0</v>
      </c>
      <c r="R71" s="135" t="str">
        <f t="shared" si="11"/>
        <v/>
      </c>
      <c r="S71" s="135" t="str">
        <f>IF(Q71="","",IF(Q71+Q72&lt;&gt;20,IF(Q71+Q72&lt;&gt;0,"!",""),""))</f>
        <v/>
      </c>
      <c r="T71" s="21" t="str">
        <f t="shared" si="12"/>
        <v/>
      </c>
      <c r="U71" s="132">
        <f>IF(D71="",0,VLOOKUP(D71,'Tournament Details'!$C:$X,22,FALSE))</f>
        <v>0</v>
      </c>
      <c r="V71" s="132">
        <f>IF(D71="",0,VLOOKUP(D71,'Tournament Details'!$C:$Y,23,FALSE))</f>
        <v>0</v>
      </c>
      <c r="W71" s="132">
        <f>IF(D71="",0,VLOOKUP(D71,'Tournament Details'!$C:$Z,24,FALSE))</f>
        <v>0</v>
      </c>
      <c r="X71" s="132">
        <f>IF(D71="",0,VLOOKUP(D71,'Tournament Details'!$C:$AA,25,FALSE))</f>
        <v>0</v>
      </c>
      <c r="Y71" s="40" t="str">
        <f>IF(D71="","",IF(COUNTIF(D:D,D71)&gt;1,"DUPLICATE PLAYER",IF(D72="","NO OPPONENT",IF(H71=H72,"SAME TEAM",""))))</f>
        <v/>
      </c>
    </row>
    <row r="72" spans="1:25" ht="15" customHeight="1" thickBot="1" x14ac:dyDescent="0.35">
      <c r="A72" s="224"/>
      <c r="B72" s="43">
        <f t="shared" si="13"/>
        <v>0</v>
      </c>
      <c r="C72" s="139" t="str">
        <f t="shared" si="14"/>
        <v/>
      </c>
      <c r="D72" s="141" t="str">
        <f>'Tournament Details'!C76</f>
        <v/>
      </c>
      <c r="E72" s="142" t="str">
        <f t="shared" si="15"/>
        <v/>
      </c>
      <c r="F72" s="142" t="str">
        <f t="shared" si="16"/>
        <v/>
      </c>
      <c r="G72" s="24" t="str">
        <f>D71</f>
        <v/>
      </c>
      <c r="H72" s="26" t="str">
        <f>IF(D72="","",IF(VLOOKUP(D72,'Tournament Details'!$C:$G,5,FALSE)="",D72,VLOOKUP(D72,'Tournament Details'!$C:$G,5,FALSE)))</f>
        <v/>
      </c>
      <c r="I72" s="12" t="str">
        <f>IF(D72=0,"",IF(VLOOKUP(D72,'Tournament Details'!$C:$E,3,FALSE)&gt;0,VLOOKUP(D72,'Tournament Details'!$C:$E,3,FALSE),""))</f>
        <v/>
      </c>
      <c r="J72" s="122"/>
      <c r="K72" s="122"/>
      <c r="L72" s="23"/>
      <c r="M72" s="24"/>
      <c r="N72" s="24"/>
      <c r="O72" s="24"/>
      <c r="P72" s="185">
        <v>0</v>
      </c>
      <c r="Q72" s="183">
        <f t="shared" si="10"/>
        <v>0</v>
      </c>
      <c r="R72" s="135" t="str">
        <f t="shared" si="11"/>
        <v/>
      </c>
      <c r="S72" s="135" t="str">
        <f>IF(Q72="","",IF(Q71+Q72&lt;&gt;20,IF(Q71+Q72&lt;&gt;0,"!",""),""))</f>
        <v/>
      </c>
      <c r="T72" s="21" t="str">
        <f t="shared" si="12"/>
        <v/>
      </c>
      <c r="U72" s="132">
        <f>IF(D72="",0,VLOOKUP(D72,'Tournament Details'!$C:$X,22,FALSE))</f>
        <v>0</v>
      </c>
      <c r="V72" s="132">
        <f>IF(D72="",0,VLOOKUP(D72,'Tournament Details'!$C:$Y,23,FALSE))</f>
        <v>0</v>
      </c>
      <c r="W72" s="132">
        <f>IF(D72="",0,VLOOKUP(D72,'Tournament Details'!$C:$Z,24,FALSE))</f>
        <v>0</v>
      </c>
      <c r="X72" s="132">
        <f>IF(D72="",0,VLOOKUP(D72,'Tournament Details'!$C:$AA,25,FALSE))</f>
        <v>0</v>
      </c>
      <c r="Y72" s="40" t="str">
        <f>IF(D72="","",IF(COUNTIF(D:D,D72)&gt;1,"DUPLICATE PLAYER",IF(D71="","NO OPPONENT",IF(H72=H71,"SAME TEAM",""))))</f>
        <v/>
      </c>
    </row>
    <row r="73" spans="1:25" ht="15" customHeight="1" thickBot="1" x14ac:dyDescent="0.35">
      <c r="A73" s="224" t="str">
        <f>IF('Tournament Details'!A1&gt;=1,IF(LARGE('Tournament Details'!C7:C86,1)&gt;=72,36,""),"")</f>
        <v/>
      </c>
      <c r="B73" s="42">
        <f t="shared" si="13"/>
        <v>0</v>
      </c>
      <c r="C73" s="139" t="str">
        <f t="shared" si="14"/>
        <v/>
      </c>
      <c r="D73" s="140" t="str">
        <f>'Tournament Details'!C77</f>
        <v/>
      </c>
      <c r="E73" s="44" t="str">
        <f t="shared" si="15"/>
        <v/>
      </c>
      <c r="F73" s="44" t="str">
        <f t="shared" si="16"/>
        <v/>
      </c>
      <c r="G73" s="23" t="str">
        <f>D74</f>
        <v/>
      </c>
      <c r="H73" s="25" t="str">
        <f>IF(D73="","",IF(VLOOKUP(D73,'Tournament Details'!$C:$G,5,FALSE)="",D73,VLOOKUP(D73,'Tournament Details'!$C:$G,5,FALSE)))</f>
        <v/>
      </c>
      <c r="I73" s="7" t="str">
        <f>IF(D73=0,"",IF(VLOOKUP(D73,'Tournament Details'!$C:$E,3,FALSE)&gt;0,VLOOKUP(D73,'Tournament Details'!$C:$E,3,FALSE),""))</f>
        <v/>
      </c>
      <c r="J73" s="121"/>
      <c r="K73" s="121"/>
      <c r="L73" s="23"/>
      <c r="M73" s="23"/>
      <c r="N73" s="23"/>
      <c r="O73" s="23"/>
      <c r="P73" s="184">
        <v>0</v>
      </c>
      <c r="Q73" s="183">
        <f t="shared" si="10"/>
        <v>0</v>
      </c>
      <c r="R73" s="135" t="str">
        <f t="shared" si="11"/>
        <v/>
      </c>
      <c r="S73" s="135" t="str">
        <f>IF(Q73="","",IF(Q73+Q74&lt;&gt;20,IF(Q73+Q74&lt;&gt;0,"!",""),""))</f>
        <v/>
      </c>
      <c r="T73" s="21" t="str">
        <f t="shared" si="12"/>
        <v/>
      </c>
      <c r="U73" s="132">
        <f>IF(D73="",0,VLOOKUP(D73,'Tournament Details'!$C:$X,22,FALSE))</f>
        <v>0</v>
      </c>
      <c r="V73" s="132">
        <f>IF(D73="",0,VLOOKUP(D73,'Tournament Details'!$C:$Y,23,FALSE))</f>
        <v>0</v>
      </c>
      <c r="W73" s="132">
        <f>IF(D73="",0,VLOOKUP(D73,'Tournament Details'!$C:$Z,24,FALSE))</f>
        <v>0</v>
      </c>
      <c r="X73" s="132">
        <f>IF(D73="",0,VLOOKUP(D73,'Tournament Details'!$C:$AA,25,FALSE))</f>
        <v>0</v>
      </c>
      <c r="Y73" s="40" t="str">
        <f>IF(D73="","",IF(COUNTIF(D:D,D73)&gt;1,"DUPLICATE PLAYER",IF(D74="","NO OPPONENT",IF(H73=H74,"SAME TEAM",""))))</f>
        <v/>
      </c>
    </row>
    <row r="74" spans="1:25" ht="15" customHeight="1" thickBot="1" x14ac:dyDescent="0.35">
      <c r="A74" s="224"/>
      <c r="B74" s="43">
        <f t="shared" si="13"/>
        <v>0</v>
      </c>
      <c r="C74" s="139" t="str">
        <f t="shared" si="14"/>
        <v/>
      </c>
      <c r="D74" s="141" t="str">
        <f>'Tournament Details'!C78</f>
        <v/>
      </c>
      <c r="E74" s="142" t="str">
        <f t="shared" si="15"/>
        <v/>
      </c>
      <c r="F74" s="142" t="str">
        <f t="shared" si="16"/>
        <v/>
      </c>
      <c r="G74" s="24" t="str">
        <f>D73</f>
        <v/>
      </c>
      <c r="H74" s="26" t="str">
        <f>IF(D74="","",IF(VLOOKUP(D74,'Tournament Details'!$C:$G,5,FALSE)="",D74,VLOOKUP(D74,'Tournament Details'!$C:$G,5,FALSE)))</f>
        <v/>
      </c>
      <c r="I74" s="12" t="str">
        <f>IF(D74=0,"",IF(VLOOKUP(D74,'Tournament Details'!$C:$E,3,FALSE)&gt;0,VLOOKUP(D74,'Tournament Details'!$C:$E,3,FALSE),""))</f>
        <v/>
      </c>
      <c r="J74" s="122"/>
      <c r="K74" s="122"/>
      <c r="L74" s="23"/>
      <c r="M74" s="24"/>
      <c r="N74" s="24"/>
      <c r="O74" s="24"/>
      <c r="P74" s="185">
        <v>0</v>
      </c>
      <c r="Q74" s="183">
        <f t="shared" si="10"/>
        <v>0</v>
      </c>
      <c r="R74" s="135" t="str">
        <f t="shared" si="11"/>
        <v/>
      </c>
      <c r="S74" s="135" t="str">
        <f>IF(Q74="","",IF(Q73+Q74&lt;&gt;20,IF(Q73+Q74&lt;&gt;0,"!",""),""))</f>
        <v/>
      </c>
      <c r="T74" s="21" t="str">
        <f t="shared" si="12"/>
        <v/>
      </c>
      <c r="U74" s="132">
        <f>IF(D74="",0,VLOOKUP(D74,'Tournament Details'!$C:$X,22,FALSE))</f>
        <v>0</v>
      </c>
      <c r="V74" s="132">
        <f>IF(D74="",0,VLOOKUP(D74,'Tournament Details'!$C:$Y,23,FALSE))</f>
        <v>0</v>
      </c>
      <c r="W74" s="132">
        <f>IF(D74="",0,VLOOKUP(D74,'Tournament Details'!$C:$Z,24,FALSE))</f>
        <v>0</v>
      </c>
      <c r="X74" s="132">
        <f>IF(D74="",0,VLOOKUP(D74,'Tournament Details'!$C:$AA,25,FALSE))</f>
        <v>0</v>
      </c>
      <c r="Y74" s="40" t="str">
        <f>IF(D74="","",IF(COUNTIF(D:D,D74)&gt;1,"DUPLICATE PLAYER",IF(D73="","NO OPPONENT",IF(H74=H73,"SAME TEAM",""))))</f>
        <v/>
      </c>
    </row>
    <row r="75" spans="1:25" ht="15" customHeight="1" thickBot="1" x14ac:dyDescent="0.35">
      <c r="A75" s="224" t="str">
        <f>IF('Tournament Details'!A1&gt;=1,IF(LARGE('Tournament Details'!C7:C86,1)&gt;=74,37,""),"")</f>
        <v/>
      </c>
      <c r="B75" s="42">
        <f t="shared" si="13"/>
        <v>0</v>
      </c>
      <c r="C75" s="139" t="str">
        <f t="shared" si="14"/>
        <v/>
      </c>
      <c r="D75" s="140" t="str">
        <f>'Tournament Details'!C79</f>
        <v/>
      </c>
      <c r="E75" s="44" t="str">
        <f t="shared" si="15"/>
        <v/>
      </c>
      <c r="F75" s="44" t="str">
        <f t="shared" si="16"/>
        <v/>
      </c>
      <c r="G75" s="23" t="str">
        <f>D76</f>
        <v/>
      </c>
      <c r="H75" s="25" t="str">
        <f>IF(D75="","",IF(VLOOKUP(D75,'Tournament Details'!$C:$G,5,FALSE)="",D75,VLOOKUP(D75,'Tournament Details'!$C:$G,5,FALSE)))</f>
        <v/>
      </c>
      <c r="I75" s="7" t="str">
        <f>IF(D75=0,"",IF(VLOOKUP(D75,'Tournament Details'!$C:$E,3,FALSE)&gt;0,VLOOKUP(D75,'Tournament Details'!$C:$E,3,FALSE),""))</f>
        <v/>
      </c>
      <c r="J75" s="121"/>
      <c r="K75" s="121"/>
      <c r="L75" s="23"/>
      <c r="M75" s="23"/>
      <c r="N75" s="23"/>
      <c r="O75" s="23"/>
      <c r="P75" s="184">
        <v>0</v>
      </c>
      <c r="Q75" s="183">
        <f t="shared" si="10"/>
        <v>0</v>
      </c>
      <c r="R75" s="135" t="str">
        <f t="shared" si="11"/>
        <v/>
      </c>
      <c r="S75" s="135" t="str">
        <f>IF(Q75="","",IF(Q75+Q76&lt;&gt;20,IF(Q75+Q76&lt;&gt;0,"!",""),""))</f>
        <v/>
      </c>
      <c r="T75" s="21" t="str">
        <f t="shared" si="12"/>
        <v/>
      </c>
      <c r="U75" s="132">
        <f>IF(D75="",0,VLOOKUP(D75,'Tournament Details'!$C:$X,22,FALSE))</f>
        <v>0</v>
      </c>
      <c r="V75" s="132">
        <f>IF(D75="",0,VLOOKUP(D75,'Tournament Details'!$C:$Y,23,FALSE))</f>
        <v>0</v>
      </c>
      <c r="W75" s="132">
        <f>IF(D75="",0,VLOOKUP(D75,'Tournament Details'!$C:$Z,24,FALSE))</f>
        <v>0</v>
      </c>
      <c r="X75" s="132">
        <f>IF(D75="",0,VLOOKUP(D75,'Tournament Details'!$C:$AA,25,FALSE))</f>
        <v>0</v>
      </c>
      <c r="Y75" s="40" t="str">
        <f>IF(D75="","",IF(COUNTIF(D:D,D75)&gt;1,"DUPLICATE PLAYER",IF(D76="","NO OPPONENT",IF(H75=H76,"SAME TEAM",""))))</f>
        <v/>
      </c>
    </row>
    <row r="76" spans="1:25" ht="15" customHeight="1" thickBot="1" x14ac:dyDescent="0.35">
      <c r="A76" s="224"/>
      <c r="B76" s="43">
        <f t="shared" si="13"/>
        <v>0</v>
      </c>
      <c r="C76" s="139" t="str">
        <f t="shared" si="14"/>
        <v/>
      </c>
      <c r="D76" s="141" t="str">
        <f>'Tournament Details'!C80</f>
        <v/>
      </c>
      <c r="E76" s="142" t="str">
        <f t="shared" si="15"/>
        <v/>
      </c>
      <c r="F76" s="142" t="str">
        <f t="shared" si="16"/>
        <v/>
      </c>
      <c r="G76" s="24" t="str">
        <f>D75</f>
        <v/>
      </c>
      <c r="H76" s="26" t="str">
        <f>IF(D76="","",IF(VLOOKUP(D76,'Tournament Details'!$C:$G,5,FALSE)="",D76,VLOOKUP(D76,'Tournament Details'!$C:$G,5,FALSE)))</f>
        <v/>
      </c>
      <c r="I76" s="12" t="str">
        <f>IF(D76=0,"",IF(VLOOKUP(D76,'Tournament Details'!$C:$E,3,FALSE)&gt;0,VLOOKUP(D76,'Tournament Details'!$C:$E,3,FALSE),""))</f>
        <v/>
      </c>
      <c r="J76" s="122"/>
      <c r="K76" s="122"/>
      <c r="L76" s="23"/>
      <c r="M76" s="24"/>
      <c r="N76" s="24"/>
      <c r="O76" s="24"/>
      <c r="P76" s="185">
        <v>0</v>
      </c>
      <c r="Q76" s="183">
        <f t="shared" si="10"/>
        <v>0</v>
      </c>
      <c r="R76" s="135" t="str">
        <f t="shared" si="11"/>
        <v/>
      </c>
      <c r="S76" s="135" t="str">
        <f>IF(Q76="","",IF(Q75+Q76&lt;&gt;20,IF(Q75+Q76&lt;&gt;0,"!",""),""))</f>
        <v/>
      </c>
      <c r="T76" s="21" t="str">
        <f t="shared" si="12"/>
        <v/>
      </c>
      <c r="U76" s="132">
        <f>IF(D76="",0,VLOOKUP(D76,'Tournament Details'!$C:$X,22,FALSE))</f>
        <v>0</v>
      </c>
      <c r="V76" s="132">
        <f>IF(D76="",0,VLOOKUP(D76,'Tournament Details'!$C:$Y,23,FALSE))</f>
        <v>0</v>
      </c>
      <c r="W76" s="132">
        <f>IF(D76="",0,VLOOKUP(D76,'Tournament Details'!$C:$Z,24,FALSE))</f>
        <v>0</v>
      </c>
      <c r="X76" s="132">
        <f>IF(D76="",0,VLOOKUP(D76,'Tournament Details'!$C:$AA,25,FALSE))</f>
        <v>0</v>
      </c>
      <c r="Y76" s="40" t="str">
        <f>IF(D76="","",IF(COUNTIF(D:D,D76)&gt;1,"DUPLICATE PLAYER",IF(D75="","NO OPPONENT",IF(H76=H75,"SAME TEAM",""))))</f>
        <v/>
      </c>
    </row>
    <row r="77" spans="1:25" ht="15" customHeight="1" thickBot="1" x14ac:dyDescent="0.35">
      <c r="A77" s="224" t="str">
        <f>IF('Tournament Details'!A1&gt;=1,IF(LARGE('Tournament Details'!C7:C86,1)&gt;=76,38,""),"")</f>
        <v/>
      </c>
      <c r="B77" s="42">
        <f t="shared" si="13"/>
        <v>0</v>
      </c>
      <c r="C77" s="139" t="str">
        <f t="shared" si="14"/>
        <v/>
      </c>
      <c r="D77" s="140" t="str">
        <f>'Tournament Details'!C81</f>
        <v/>
      </c>
      <c r="E77" s="44" t="str">
        <f t="shared" si="15"/>
        <v/>
      </c>
      <c r="F77" s="44" t="str">
        <f t="shared" si="16"/>
        <v/>
      </c>
      <c r="G77" s="23" t="str">
        <f>D78</f>
        <v/>
      </c>
      <c r="H77" s="25" t="str">
        <f>IF(D77="","",IF(VLOOKUP(D77,'Tournament Details'!$C:$G,5,FALSE)="",D77,VLOOKUP(D77,'Tournament Details'!$C:$G,5,FALSE)))</f>
        <v/>
      </c>
      <c r="I77" s="7" t="str">
        <f>IF(D77=0,"",IF(VLOOKUP(D77,'Tournament Details'!$C:$E,3,FALSE)&gt;0,VLOOKUP(D77,'Tournament Details'!$C:$E,3,FALSE),""))</f>
        <v/>
      </c>
      <c r="J77" s="121"/>
      <c r="K77" s="121"/>
      <c r="L77" s="23"/>
      <c r="M77" s="23"/>
      <c r="N77" s="23"/>
      <c r="O77" s="23"/>
      <c r="P77" s="184">
        <v>0</v>
      </c>
      <c r="Q77" s="183">
        <f t="shared" si="10"/>
        <v>0</v>
      </c>
      <c r="R77" s="135" t="str">
        <f t="shared" si="11"/>
        <v/>
      </c>
      <c r="S77" s="135" t="str">
        <f>IF(Q77="","",IF(Q77+Q78&lt;&gt;20,IF(Q77+Q78&lt;&gt;0,"!",""),""))</f>
        <v/>
      </c>
      <c r="T77" s="21" t="str">
        <f t="shared" si="12"/>
        <v/>
      </c>
      <c r="U77" s="132">
        <f>IF(D77="",0,VLOOKUP(D77,'Tournament Details'!$C:$X,22,FALSE))</f>
        <v>0</v>
      </c>
      <c r="V77" s="132">
        <f>IF(D77="",0,VLOOKUP(D77,'Tournament Details'!$C:$Y,23,FALSE))</f>
        <v>0</v>
      </c>
      <c r="W77" s="132">
        <f>IF(D77="",0,VLOOKUP(D77,'Tournament Details'!$C:$Z,24,FALSE))</f>
        <v>0</v>
      </c>
      <c r="X77" s="132">
        <f>IF(D77="",0,VLOOKUP(D77,'Tournament Details'!$C:$AA,25,FALSE))</f>
        <v>0</v>
      </c>
      <c r="Y77" s="40" t="str">
        <f>IF(D77="","",IF(COUNTIF(D:D,D77)&gt;1,"DUPLICATE PLAYER",IF(D78="","NO OPPONENT",IF(H77=H78,"SAME TEAM",""))))</f>
        <v/>
      </c>
    </row>
    <row r="78" spans="1:25" ht="15" customHeight="1" thickBot="1" x14ac:dyDescent="0.35">
      <c r="A78" s="224"/>
      <c r="B78" s="43">
        <f t="shared" si="13"/>
        <v>0</v>
      </c>
      <c r="C78" s="139" t="str">
        <f t="shared" si="14"/>
        <v/>
      </c>
      <c r="D78" s="141" t="str">
        <f>'Tournament Details'!C82</f>
        <v/>
      </c>
      <c r="E78" s="142" t="str">
        <f t="shared" si="15"/>
        <v/>
      </c>
      <c r="F78" s="142" t="str">
        <f t="shared" si="16"/>
        <v/>
      </c>
      <c r="G78" s="24" t="str">
        <f>D77</f>
        <v/>
      </c>
      <c r="H78" s="26" t="str">
        <f>IF(D78="","",IF(VLOOKUP(D78,'Tournament Details'!$C:$G,5,FALSE)="",D78,VLOOKUP(D78,'Tournament Details'!$C:$G,5,FALSE)))</f>
        <v/>
      </c>
      <c r="I78" s="12" t="str">
        <f>IF(D78=0,"",IF(VLOOKUP(D78,'Tournament Details'!$C:$E,3,FALSE)&gt;0,VLOOKUP(D78,'Tournament Details'!$C:$E,3,FALSE),""))</f>
        <v/>
      </c>
      <c r="J78" s="122"/>
      <c r="K78" s="122"/>
      <c r="L78" s="23"/>
      <c r="M78" s="24"/>
      <c r="N78" s="24"/>
      <c r="O78" s="24"/>
      <c r="P78" s="185">
        <v>0</v>
      </c>
      <c r="Q78" s="183">
        <f t="shared" si="10"/>
        <v>0</v>
      </c>
      <c r="R78" s="135" t="str">
        <f t="shared" si="11"/>
        <v/>
      </c>
      <c r="S78" s="135" t="str">
        <f>IF(Q78="","",IF(Q77+Q78&lt;&gt;20,IF(Q77+Q78&lt;&gt;0,"!",""),""))</f>
        <v/>
      </c>
      <c r="T78" s="21" t="str">
        <f t="shared" si="12"/>
        <v/>
      </c>
      <c r="U78" s="132">
        <f>IF(D78="",0,VLOOKUP(D78,'Tournament Details'!$C:$X,22,FALSE))</f>
        <v>0</v>
      </c>
      <c r="V78" s="132">
        <f>IF(D78="",0,VLOOKUP(D78,'Tournament Details'!$C:$Y,23,FALSE))</f>
        <v>0</v>
      </c>
      <c r="W78" s="132">
        <f>IF(D78="",0,VLOOKUP(D78,'Tournament Details'!$C:$Z,24,FALSE))</f>
        <v>0</v>
      </c>
      <c r="X78" s="132">
        <f>IF(D78="",0,VLOOKUP(D78,'Tournament Details'!$C:$AA,25,FALSE))</f>
        <v>0</v>
      </c>
      <c r="Y78" s="40" t="str">
        <f>IF(D78="","",IF(COUNTIF(D:D,D78)&gt;1,"DUPLICATE PLAYER",IF(D77="","NO OPPONENT",IF(H78=H77,"SAME TEAM",""))))</f>
        <v/>
      </c>
    </row>
    <row r="79" spans="1:25" ht="15" customHeight="1" thickBot="1" x14ac:dyDescent="0.35">
      <c r="A79" s="224" t="str">
        <f>IF('Tournament Details'!A1&gt;=1,IF(LARGE('Tournament Details'!C7:C86,1)&gt;=78,39,""),"")</f>
        <v/>
      </c>
      <c r="B79" s="42">
        <f t="shared" si="13"/>
        <v>0</v>
      </c>
      <c r="C79" s="139" t="str">
        <f t="shared" si="14"/>
        <v/>
      </c>
      <c r="D79" s="140" t="str">
        <f>'Tournament Details'!C83</f>
        <v/>
      </c>
      <c r="E79" s="44" t="str">
        <f t="shared" si="15"/>
        <v/>
      </c>
      <c r="F79" s="44" t="str">
        <f t="shared" si="16"/>
        <v/>
      </c>
      <c r="G79" s="23" t="str">
        <f>D80</f>
        <v/>
      </c>
      <c r="H79" s="25" t="str">
        <f>IF(D79="","",IF(VLOOKUP(D79,'Tournament Details'!$C:$G,5,FALSE)="",D79,VLOOKUP(D79,'Tournament Details'!$C:$G,5,FALSE)))</f>
        <v/>
      </c>
      <c r="I79" s="7" t="str">
        <f>IF(D79=0,"",IF(VLOOKUP(D79,'Tournament Details'!$C:$E,3,FALSE)&gt;0,VLOOKUP(D79,'Tournament Details'!$C:$E,3,FALSE),""))</f>
        <v/>
      </c>
      <c r="J79" s="121"/>
      <c r="K79" s="121"/>
      <c r="L79" s="23"/>
      <c r="M79" s="23"/>
      <c r="N79" s="23"/>
      <c r="O79" s="23"/>
      <c r="P79" s="184">
        <v>0</v>
      </c>
      <c r="Q79" s="183">
        <f t="shared" si="10"/>
        <v>0</v>
      </c>
      <c r="R79" s="135" t="str">
        <f t="shared" si="11"/>
        <v/>
      </c>
      <c r="S79" s="135" t="str">
        <f>IF(Q79="","",IF(Q79+Q80&lt;&gt;20,IF(Q79+Q80&lt;&gt;0,"!",""),""))</f>
        <v/>
      </c>
      <c r="T79" s="21" t="str">
        <f t="shared" si="12"/>
        <v/>
      </c>
      <c r="U79" s="132">
        <f>IF(D79="",0,VLOOKUP(D79,'Tournament Details'!$C:$X,22,FALSE))</f>
        <v>0</v>
      </c>
      <c r="V79" s="132">
        <f>IF(D79="",0,VLOOKUP(D79,'Tournament Details'!$C:$Y,23,FALSE))</f>
        <v>0</v>
      </c>
      <c r="W79" s="132">
        <f>IF(D79="",0,VLOOKUP(D79,'Tournament Details'!$C:$Z,24,FALSE))</f>
        <v>0</v>
      </c>
      <c r="X79" s="132">
        <f>IF(D79="",0,VLOOKUP(D79,'Tournament Details'!$C:$AA,25,FALSE))</f>
        <v>0</v>
      </c>
      <c r="Y79" s="40" t="str">
        <f>IF(D79="","",IF(COUNTIF(D:D,D79)&gt;1,"DUPLICATE PLAYER",IF(D80="","NO OPPONENT",IF(H79=H80,"SAME TEAM",""))))</f>
        <v/>
      </c>
    </row>
    <row r="80" spans="1:25" ht="15" customHeight="1" thickBot="1" x14ac:dyDescent="0.35">
      <c r="A80" s="224"/>
      <c r="B80" s="43">
        <f t="shared" si="13"/>
        <v>0</v>
      </c>
      <c r="C80" s="139" t="str">
        <f t="shared" si="14"/>
        <v/>
      </c>
      <c r="D80" s="141" t="str">
        <f>'Tournament Details'!C84</f>
        <v/>
      </c>
      <c r="E80" s="142" t="str">
        <f t="shared" si="15"/>
        <v/>
      </c>
      <c r="F80" s="142" t="str">
        <f t="shared" si="16"/>
        <v/>
      </c>
      <c r="G80" s="24" t="str">
        <f>D79</f>
        <v/>
      </c>
      <c r="H80" s="26" t="str">
        <f>IF(D80="","",IF(VLOOKUP(D80,'Tournament Details'!$C:$G,5,FALSE)="",D80,VLOOKUP(D80,'Tournament Details'!$C:$G,5,FALSE)))</f>
        <v/>
      </c>
      <c r="I80" s="12" t="str">
        <f>IF(D80=0,"",IF(VLOOKUP(D80,'Tournament Details'!$C:$E,3,FALSE)&gt;0,VLOOKUP(D80,'Tournament Details'!$C:$E,3,FALSE),""))</f>
        <v/>
      </c>
      <c r="J80" s="122"/>
      <c r="K80" s="122"/>
      <c r="L80" s="23"/>
      <c r="M80" s="24"/>
      <c r="N80" s="24"/>
      <c r="O80" s="24"/>
      <c r="P80" s="185">
        <v>0</v>
      </c>
      <c r="Q80" s="183">
        <f t="shared" si="10"/>
        <v>0</v>
      </c>
      <c r="R80" s="135" t="str">
        <f t="shared" si="11"/>
        <v/>
      </c>
      <c r="S80" s="135" t="str">
        <f>IF(Q80="","",IF(Q79+Q80&lt;&gt;20,IF(Q79+Q80&lt;&gt;0,"!",""),""))</f>
        <v/>
      </c>
      <c r="T80" s="21" t="str">
        <f t="shared" si="12"/>
        <v/>
      </c>
      <c r="U80" s="132">
        <f>IF(D80="",0,VLOOKUP(D80,'Tournament Details'!$C:$X,22,FALSE))</f>
        <v>0</v>
      </c>
      <c r="V80" s="132">
        <f>IF(D80="",0,VLOOKUP(D80,'Tournament Details'!$C:$Y,23,FALSE))</f>
        <v>0</v>
      </c>
      <c r="W80" s="132">
        <f>IF(D80="",0,VLOOKUP(D80,'Tournament Details'!$C:$Z,24,FALSE))</f>
        <v>0</v>
      </c>
      <c r="X80" s="132">
        <f>IF(D80="",0,VLOOKUP(D80,'Tournament Details'!$C:$AA,25,FALSE))</f>
        <v>0</v>
      </c>
      <c r="Y80" s="40" t="str">
        <f>IF(D80="","",IF(COUNTIF(D:D,D80)&gt;1,"DUPLICATE PLAYER",IF(D79="","NO OPPONENT",IF(H80=H79,"SAME TEAM",""))))</f>
        <v/>
      </c>
    </row>
    <row r="81" spans="1:25" ht="15" customHeight="1" thickBot="1" x14ac:dyDescent="0.35">
      <c r="A81" s="224" t="str">
        <f>IF('Tournament Details'!A1&gt;=1,IF(LARGE('Tournament Details'!C7:C86,1)&gt;=80,40,""),"")</f>
        <v/>
      </c>
      <c r="B81" s="42">
        <f t="shared" si="13"/>
        <v>0</v>
      </c>
      <c r="C81" s="139" t="str">
        <f t="shared" si="14"/>
        <v/>
      </c>
      <c r="D81" s="140" t="str">
        <f>'Tournament Details'!C85</f>
        <v/>
      </c>
      <c r="E81" s="44" t="str">
        <f t="shared" si="15"/>
        <v/>
      </c>
      <c r="F81" s="44" t="str">
        <f t="shared" si="16"/>
        <v/>
      </c>
      <c r="G81" s="23" t="str">
        <f>D82</f>
        <v/>
      </c>
      <c r="H81" s="25" t="str">
        <f>IF(D81="","",IF(VLOOKUP(D81,'Tournament Details'!$C:$G,5,FALSE)="",D81,VLOOKUP(D81,'Tournament Details'!$C:$G,5,FALSE)))</f>
        <v/>
      </c>
      <c r="I81" s="7" t="str">
        <f>IF(D81=0,"",IF(VLOOKUP(D81,'Tournament Details'!$C:$E,3,FALSE)&gt;0,VLOOKUP(D81,'Tournament Details'!$C:$E,3,FALSE),""))</f>
        <v/>
      </c>
      <c r="J81" s="121"/>
      <c r="K81" s="121"/>
      <c r="L81" s="23"/>
      <c r="M81" s="23"/>
      <c r="N81" s="23"/>
      <c r="O81" s="23"/>
      <c r="P81" s="184">
        <v>0</v>
      </c>
      <c r="Q81" s="183">
        <f t="shared" si="10"/>
        <v>0</v>
      </c>
      <c r="R81" s="135" t="str">
        <f t="shared" si="11"/>
        <v/>
      </c>
      <c r="S81" s="135" t="str">
        <f>IF(Q81="","",IF(Q81+Q82&lt;&gt;20,IF(Q81+Q82&lt;&gt;0,"!",""),""))</f>
        <v/>
      </c>
      <c r="T81" s="21" t="str">
        <f t="shared" si="12"/>
        <v/>
      </c>
      <c r="U81" s="132">
        <f>IF(D81="",0,VLOOKUP(D81,'Tournament Details'!$C:$X,22,FALSE))</f>
        <v>0</v>
      </c>
      <c r="V81" s="132">
        <f>IF(D81="",0,VLOOKUP(D81,'Tournament Details'!$C:$Y,23,FALSE))</f>
        <v>0</v>
      </c>
      <c r="W81" s="132">
        <f>IF(D81="",0,VLOOKUP(D81,'Tournament Details'!$C:$Z,24,FALSE))</f>
        <v>0</v>
      </c>
      <c r="X81" s="132">
        <f>IF(D81="",0,VLOOKUP(D81,'Tournament Details'!$C:$AA,25,FALSE))</f>
        <v>0</v>
      </c>
      <c r="Y81" s="40" t="str">
        <f>IF(D81="","",IF(COUNTIF(D:D,D81)&gt;1,"DUPLICATE PLAYER",IF(D82="","NO OPPONENT",IF(H81=H82,"SAME TEAM",""))))</f>
        <v/>
      </c>
    </row>
    <row r="82" spans="1:25" ht="15" customHeight="1" thickBot="1" x14ac:dyDescent="0.35">
      <c r="A82" s="224"/>
      <c r="B82" s="43">
        <f t="shared" si="13"/>
        <v>0</v>
      </c>
      <c r="C82" s="139" t="str">
        <f t="shared" si="14"/>
        <v/>
      </c>
      <c r="D82" s="141" t="str">
        <f>'Tournament Details'!C86</f>
        <v/>
      </c>
      <c r="E82" s="142" t="str">
        <f t="shared" si="15"/>
        <v/>
      </c>
      <c r="F82" s="142" t="str">
        <f t="shared" si="16"/>
        <v/>
      </c>
      <c r="G82" s="24" t="str">
        <f>D81</f>
        <v/>
      </c>
      <c r="H82" s="26" t="str">
        <f>IF(D82="","",IF(VLOOKUP(D82,'Tournament Details'!$C:$G,5,FALSE)="",D82,VLOOKUP(D82,'Tournament Details'!$C:$G,5,FALSE)))</f>
        <v/>
      </c>
      <c r="I82" s="12" t="str">
        <f>IF(D82=0,"",IF(VLOOKUP(D82,'Tournament Details'!$C:$E,3,FALSE)&gt;0,VLOOKUP(D82,'Tournament Details'!$C:$E,3,FALSE),""))</f>
        <v/>
      </c>
      <c r="J82" s="122"/>
      <c r="K82" s="122"/>
      <c r="L82" s="23"/>
      <c r="M82" s="24"/>
      <c r="N82" s="24"/>
      <c r="O82" s="24"/>
      <c r="P82" s="185">
        <v>0</v>
      </c>
      <c r="Q82" s="183">
        <f t="shared" si="10"/>
        <v>0</v>
      </c>
      <c r="R82" s="135" t="str">
        <f t="shared" si="11"/>
        <v/>
      </c>
      <c r="S82" s="135" t="str">
        <f>IF(Q82="","",IF(Q81+Q82&lt;&gt;20,IF(Q81+Q82&lt;&gt;0,"!",""),""))</f>
        <v/>
      </c>
      <c r="T82" s="21" t="str">
        <f t="shared" si="12"/>
        <v/>
      </c>
      <c r="U82" s="132">
        <f>IF(D82="",0,VLOOKUP(D82,'Tournament Details'!$C:$X,22,FALSE))</f>
        <v>0</v>
      </c>
      <c r="V82" s="132">
        <f>IF(D82="",0,VLOOKUP(D82,'Tournament Details'!$C:$Y,23,FALSE))</f>
        <v>0</v>
      </c>
      <c r="W82" s="132">
        <f>IF(D82="",0,VLOOKUP(D82,'Tournament Details'!$C:$Z,24,FALSE))</f>
        <v>0</v>
      </c>
      <c r="X82" s="132">
        <f>IF(D82="",0,VLOOKUP(D82,'Tournament Details'!$C:$AA,25,FALSE))</f>
        <v>0</v>
      </c>
      <c r="Y82" s="40" t="str">
        <f>IF(D82="","",IF(COUNTIF(D:D,D82)&gt;1,"DUPLICATE PLAYER",IF(D81="","NO OPPONENT",IF(H82=H81,"SAME TEAM",""))))</f>
        <v/>
      </c>
    </row>
  </sheetData>
  <sheetProtection algorithmName="SHA-512" hashValue="3utzFtNURKd91JdL/qiqh0+XxAavEdGOW8b7kuAj31rov1xAfyRwtCLtEABPEkQoFnio91v1NdnvE/jeogYxWw==" saltValue="cczGrDH12/tOGHYcTdFXaA==" spinCount="100000" sheet="1" selectLockedCells="1"/>
  <mergeCells count="42">
    <mergeCell ref="Y1:AA2"/>
    <mergeCell ref="A81:A82"/>
    <mergeCell ref="A69:A70"/>
    <mergeCell ref="A71:A72"/>
    <mergeCell ref="A73:A74"/>
    <mergeCell ref="A75:A76"/>
    <mergeCell ref="A77:A78"/>
    <mergeCell ref="A79:A80"/>
    <mergeCell ref="A1:Q1"/>
    <mergeCell ref="A63:A64"/>
    <mergeCell ref="A65:A66"/>
    <mergeCell ref="A67:A68"/>
    <mergeCell ref="A51:A52"/>
    <mergeCell ref="A53:A54"/>
    <mergeCell ref="A55:A56"/>
    <mergeCell ref="A57:A58"/>
    <mergeCell ref="A59:A60"/>
    <mergeCell ref="A61:A62"/>
    <mergeCell ref="A39:A40"/>
    <mergeCell ref="A41:A42"/>
    <mergeCell ref="A43:A44"/>
    <mergeCell ref="A45:A46"/>
    <mergeCell ref="A47:A48"/>
    <mergeCell ref="A49:A50"/>
    <mergeCell ref="A37:A38"/>
    <mergeCell ref="A15:A16"/>
    <mergeCell ref="A17:A18"/>
    <mergeCell ref="A19:A20"/>
    <mergeCell ref="A21:A22"/>
    <mergeCell ref="A23:A24"/>
    <mergeCell ref="A25:A26"/>
    <mergeCell ref="A27:A28"/>
    <mergeCell ref="A29:A30"/>
    <mergeCell ref="A31:A32"/>
    <mergeCell ref="A33:A34"/>
    <mergeCell ref="A35:A36"/>
    <mergeCell ref="A13:A14"/>
    <mergeCell ref="A3:A4"/>
    <mergeCell ref="A5:A6"/>
    <mergeCell ref="A7:A8"/>
    <mergeCell ref="A9:A10"/>
    <mergeCell ref="A11:A12"/>
  </mergeCells>
  <conditionalFormatting sqref="D3:D82 G3:G82">
    <cfRule type="cellIs" dxfId="40" priority="6" operator="equal">
      <formula>0</formula>
    </cfRule>
  </conditionalFormatting>
  <conditionalFormatting sqref="A3:A82">
    <cfRule type="notContainsBlanks" dxfId="39" priority="4">
      <formula>LEN(TRIM(A3))&gt;0</formula>
    </cfRule>
  </conditionalFormatting>
  <conditionalFormatting sqref="Y3:Y82">
    <cfRule type="notContainsBlanks" dxfId="38" priority="3">
      <formula>LEN(TRIM(Y3))&gt;0</formula>
    </cfRule>
  </conditionalFormatting>
  <conditionalFormatting sqref="H3:H82">
    <cfRule type="cellIs" dxfId="37" priority="1" operator="between">
      <formula>1</formula>
      <formula>10000</formula>
    </cfRule>
    <cfRule type="cellIs" dxfId="36" priority="2" operator="equal">
      <formula>0</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D2BC"/>
  </sheetPr>
  <dimension ref="A1:AA82"/>
  <sheetViews>
    <sheetView showGridLines="0" showRowColHeaders="0" zoomScaleNormal="100" workbookViewId="0">
      <pane ySplit="2" topLeftCell="A3" activePane="bottomLeft" state="frozen"/>
      <selection activeCell="I16" sqref="I16"/>
      <selection pane="bottomLeft" activeCell="K3" sqref="K3"/>
    </sheetView>
  </sheetViews>
  <sheetFormatPr defaultRowHeight="14.4" x14ac:dyDescent="0.3"/>
  <cols>
    <col min="1" max="1" width="12.44140625" bestFit="1" customWidth="1"/>
    <col min="2" max="3" width="12.44140625" hidden="1" customWidth="1"/>
    <col min="5" max="6" width="12.44140625" hidden="1" customWidth="1"/>
    <col min="7" max="7" width="11" hidden="1" customWidth="1"/>
    <col min="8" max="8" width="23.109375" customWidth="1"/>
    <col min="9" max="9" width="52.33203125" customWidth="1"/>
    <col min="10" max="10" width="8.88671875" hidden="1" customWidth="1"/>
    <col min="12" max="15" width="8.88671875" hidden="1" customWidth="1"/>
    <col min="16" max="16" width="8.88671875" customWidth="1"/>
    <col min="17" max="17" width="0" hidden="1" customWidth="1"/>
    <col min="18" max="19" width="4.33203125" style="136" hidden="1" customWidth="1"/>
    <col min="20" max="20" width="4.33203125" customWidth="1"/>
    <col min="21" max="24" width="4.33203125" hidden="1" customWidth="1"/>
    <col min="25" max="25" width="17.77734375" customWidth="1"/>
    <col min="26" max="26" width="1.6640625" customWidth="1"/>
    <col min="27" max="27" width="66.5546875" customWidth="1"/>
  </cols>
  <sheetData>
    <row r="1" spans="1:27" ht="24" thickBot="1" x14ac:dyDescent="0.5">
      <c r="A1" s="236" t="s">
        <v>24</v>
      </c>
      <c r="B1" s="237"/>
      <c r="C1" s="237"/>
      <c r="D1" s="237"/>
      <c r="E1" s="237"/>
      <c r="F1" s="237"/>
      <c r="G1" s="237"/>
      <c r="H1" s="237"/>
      <c r="I1" s="237"/>
      <c r="J1" s="237"/>
      <c r="K1" s="237"/>
      <c r="L1" s="237"/>
      <c r="M1" s="237"/>
      <c r="N1" s="237"/>
      <c r="O1" s="237"/>
      <c r="P1" s="237"/>
      <c r="Q1" s="238"/>
      <c r="R1" s="133"/>
      <c r="S1" s="133"/>
      <c r="Y1" s="226" t="s">
        <v>115</v>
      </c>
      <c r="Z1" s="227"/>
      <c r="AA1" s="228"/>
    </row>
    <row r="2" spans="1:27" ht="15" thickBot="1" x14ac:dyDescent="0.35">
      <c r="A2" s="5" t="s">
        <v>0</v>
      </c>
      <c r="B2" s="33" t="s">
        <v>21</v>
      </c>
      <c r="C2" s="33" t="s">
        <v>29</v>
      </c>
      <c r="D2" s="32" t="s">
        <v>1</v>
      </c>
      <c r="E2" s="33" t="s">
        <v>27</v>
      </c>
      <c r="F2" s="38" t="s">
        <v>28</v>
      </c>
      <c r="G2" s="38" t="s">
        <v>25</v>
      </c>
      <c r="H2" s="32" t="s">
        <v>26</v>
      </c>
      <c r="I2" s="41" t="s">
        <v>2</v>
      </c>
      <c r="J2" s="36" t="s">
        <v>4</v>
      </c>
      <c r="K2" s="37" t="s">
        <v>3</v>
      </c>
      <c r="L2" s="22" t="s">
        <v>17</v>
      </c>
      <c r="M2" s="22" t="s">
        <v>19</v>
      </c>
      <c r="N2" s="22" t="s">
        <v>16</v>
      </c>
      <c r="O2" s="22" t="s">
        <v>18</v>
      </c>
      <c r="P2" s="37" t="s">
        <v>4</v>
      </c>
      <c r="Q2" s="182" t="s">
        <v>120</v>
      </c>
      <c r="R2" s="134"/>
      <c r="S2" s="134"/>
      <c r="Y2" s="229"/>
      <c r="Z2" s="230"/>
      <c r="AA2" s="231"/>
    </row>
    <row r="3" spans="1:27" ht="15" customHeight="1" thickBot="1" x14ac:dyDescent="0.35">
      <c r="A3" s="225" t="str">
        <f>IF('Tournament Details'!A1&gt;=1,IF(LARGE('Tournament Details'!C7:C86,1)&gt;=2,1,""),"")</f>
        <v/>
      </c>
      <c r="B3" s="42">
        <f t="shared" ref="B3:B34" si="0">IF(Q3="","",(Q3*10000)+K3)</f>
        <v>0</v>
      </c>
      <c r="C3" s="44" t="str">
        <f>IF(D3="","",IF(COUNTIF(E:E,E3)=1,RANK(E3,E:E),RANK(F3,F:F)))</f>
        <v/>
      </c>
      <c r="D3" s="66" t="str">
        <f>IF('Tournament Details'!A1&gt;=1,IF('Tournament Details'!C7&lt;=LARGE('Round 1'!$C:$C,1),VLOOKUP(SMALL('Round 1'!$C:$C,1),'Round 1'!$C:$D,2,FALSE),""),"")</f>
        <v/>
      </c>
      <c r="E3" s="44" t="str">
        <f>IF(D3="","",B3+VLOOKUP(D3,'Round 1'!$D:$E,2,FALSE))</f>
        <v/>
      </c>
      <c r="F3" s="44" t="str">
        <f>IF(D3="","",(LARGE('Tournament Details'!$C:$C,1)+1-D3)+E3)</f>
        <v/>
      </c>
      <c r="G3" s="23" t="str">
        <f>D4</f>
        <v/>
      </c>
      <c r="H3" s="25" t="str">
        <f>IF(D3="","",IF(VLOOKUP(D3,'Tournament Details'!$C:$G,5,FALSE)="",D3,VLOOKUP(D3,'Tournament Details'!$C:$G,5,FALSE)))</f>
        <v/>
      </c>
      <c r="I3" s="7" t="str">
        <f>IF(D3=0,"",IF(VLOOKUP(D3,'Tournament Details'!$C:$E,3,FALSE)&gt;0,VLOOKUP(D3,'Tournament Details'!$C:$E,3,FALSE),""))</f>
        <v/>
      </c>
      <c r="J3" s="123"/>
      <c r="K3" s="123"/>
      <c r="L3" s="23"/>
      <c r="M3" s="23"/>
      <c r="N3" s="23"/>
      <c r="O3" s="23"/>
      <c r="P3" s="186">
        <v>0</v>
      </c>
      <c r="Q3" s="183">
        <f t="shared" ref="Q3:Q34" si="1">IF(P3="",0,P3)</f>
        <v>0</v>
      </c>
      <c r="R3" s="135" t="str">
        <f t="shared" ref="R3:R34" si="2">IF(J3="","",IF(J3&gt;16,"!",IF(J3&lt;4,"!","")))</f>
        <v/>
      </c>
      <c r="S3" s="135" t="str">
        <f>IF(Q3="","",IF(Q3+VLOOKUP(G3,D:Q,14,FALSE)&lt;&gt;20,IF(Q3+VLOOKUP(G3,D:Q,14,FALSE)&lt;&gt;0,"!",""),""))</f>
        <v/>
      </c>
      <c r="T3" s="21" t="str">
        <f t="shared" ref="T3:T34" si="3">IF(R3="!","!",IF(S3="!","!",""))</f>
        <v/>
      </c>
      <c r="U3" s="132">
        <f>IF(D3="",0,VLOOKUP(D3,'Tournament Details'!$C:$X,22,FALSE))</f>
        <v>0</v>
      </c>
      <c r="V3" s="132">
        <f>IF(D3="",0,VLOOKUP(D3,'Tournament Details'!$C:$Y,23,FALSE))</f>
        <v>0</v>
      </c>
      <c r="W3" s="132">
        <f>IF(D3="",0,VLOOKUP(D3,'Tournament Details'!$C:$Z,24,FALSE))</f>
        <v>0</v>
      </c>
      <c r="X3" s="132">
        <f>IF(D3="",0,VLOOKUP(D3,'Tournament Details'!$C:$AA,25,FALSE))</f>
        <v>0</v>
      </c>
      <c r="Y3" s="40" t="str">
        <f>IF(D3="","",IF(COUNTIF(D:D,D3)&gt;1,"DUPLICATE PLAYER",IF(D4="","NO OPPONENT",IF(D4=U3,"REPEAT MATCHUP",IF(H3=H4,"SAME TEAM","")))))</f>
        <v/>
      </c>
      <c r="Z3" s="40"/>
      <c r="AA3" t="str">
        <f>IF(Y3="NO OPPONENT","",IF(Y3&lt;&gt;"",CONCATENATE("Previous Matchup Player #: ",VLOOKUP(D3,'Tournament Details'!$C:$X,22,FALSE)),""))</f>
        <v/>
      </c>
    </row>
    <row r="4" spans="1:27" ht="15" customHeight="1" thickBot="1" x14ac:dyDescent="0.35">
      <c r="A4" s="224"/>
      <c r="B4" s="43">
        <f t="shared" si="0"/>
        <v>0</v>
      </c>
      <c r="C4" s="44" t="str">
        <f t="shared" ref="C4:C67" si="4">IF(D4="","",IF(COUNTIF(E:E,E4)=1,RANK(E4,E:E),RANK(F4,F:F)))</f>
        <v/>
      </c>
      <c r="D4" s="74" t="str">
        <f>IF('Tournament Details'!A1&gt;=1,IF('Tournament Details'!C8&lt;=LARGE('Round 1'!$C:$C,1),VLOOKUP(SMALL('Round 1'!$C:$C,2),'Round 1'!$C:$D,2,FALSE),""),"")</f>
        <v/>
      </c>
      <c r="E4" s="44" t="str">
        <f>IF(D4="","",B4+VLOOKUP(D4,'Round 1'!$D:$E,2,FALSE))</f>
        <v/>
      </c>
      <c r="F4" s="44" t="str">
        <f>IF(D4="","",(LARGE('Tournament Details'!$C:$C,1)+1-D4)+E4)</f>
        <v/>
      </c>
      <c r="G4" s="24" t="str">
        <f>D3</f>
        <v/>
      </c>
      <c r="H4" s="26" t="str">
        <f>IF(D4="","",IF(VLOOKUP(D4,'Tournament Details'!$C:$G,5,FALSE)="",D4,VLOOKUP(D4,'Tournament Details'!$C:$G,5,FALSE)))</f>
        <v/>
      </c>
      <c r="I4" s="12" t="str">
        <f>IF(D4=0,"",IF(VLOOKUP(D4,'Tournament Details'!$C:$E,3,FALSE)&gt;0,VLOOKUP(D4,'Tournament Details'!$C:$E,3,FALSE),""))</f>
        <v/>
      </c>
      <c r="J4" s="124"/>
      <c r="K4" s="124"/>
      <c r="L4" s="23"/>
      <c r="M4" s="24"/>
      <c r="N4" s="24"/>
      <c r="O4" s="24"/>
      <c r="P4" s="187">
        <v>0</v>
      </c>
      <c r="Q4" s="183">
        <f t="shared" si="1"/>
        <v>0</v>
      </c>
      <c r="R4" s="135" t="str">
        <f t="shared" si="2"/>
        <v/>
      </c>
      <c r="S4" s="135" t="str">
        <f>IF(Q4="","",IF(Q4+VLOOKUP(G4,D:Q,14,FALSE)&lt;&gt;20,IF(Q4+VLOOKUP(G4,D:Q,14,FALSE)&lt;&gt;0,"!",""),""))</f>
        <v/>
      </c>
      <c r="T4" s="21" t="str">
        <f t="shared" si="3"/>
        <v/>
      </c>
      <c r="U4" s="132">
        <f>IF(D4="",0,VLOOKUP(D4,'Tournament Details'!$C:$X,22,FALSE))</f>
        <v>0</v>
      </c>
      <c r="V4" s="132">
        <f>IF(D4="",0,VLOOKUP(D4,'Tournament Details'!$C:$Y,23,FALSE))</f>
        <v>0</v>
      </c>
      <c r="W4" s="132">
        <f>IF(D4="",0,VLOOKUP(D4,'Tournament Details'!$C:$Z,24,FALSE))</f>
        <v>0</v>
      </c>
      <c r="X4" s="132">
        <f>IF(D4="",0,VLOOKUP(D4,'Tournament Details'!$C:$AA,25,FALSE))</f>
        <v>0</v>
      </c>
      <c r="Y4" s="40" t="str">
        <f>IF(D4="","",IF(COUNTIF(D:D,D4)&gt;1,"DUPLICATE PLAYER",IF(D3="","NO OPPONENT",IF(D3=U4,"REPEAT MATCHUP",IF(H4=H3,"SAME TEAM","")))))</f>
        <v/>
      </c>
      <c r="Z4" s="40"/>
      <c r="AA4" t="str">
        <f>IF(Y4="NO OPPONENT","",IF(Y4&lt;&gt;"",CONCATENATE("Previous Matchup Player #: ",VLOOKUP(D4,'Tournament Details'!$C:$X,22,FALSE)),""))</f>
        <v/>
      </c>
    </row>
    <row r="5" spans="1:27" ht="15" customHeight="1" thickBot="1" x14ac:dyDescent="0.35">
      <c r="A5" s="224" t="str">
        <f>IF('Tournament Details'!A1&gt;=1,IF(LARGE('Tournament Details'!C7:C86,1)&gt;=4,2,""),"")</f>
        <v/>
      </c>
      <c r="B5" s="42">
        <f t="shared" si="0"/>
        <v>0</v>
      </c>
      <c r="C5" s="44" t="str">
        <f t="shared" si="4"/>
        <v/>
      </c>
      <c r="D5" s="66" t="str">
        <f>IF('Tournament Details'!A1&gt;=1,IF('Tournament Details'!C9&lt;=LARGE('Round 1'!$C:$C,1),VLOOKUP(SMALL('Round 1'!$C:$C,3),'Round 1'!$C:$D,2,FALSE),""),"")</f>
        <v/>
      </c>
      <c r="E5" s="44" t="str">
        <f>IF(D5="","",B5+VLOOKUP(D5,'Round 1'!$D:$E,2,FALSE))</f>
        <v/>
      </c>
      <c r="F5" s="44" t="str">
        <f>IF(D5="","",(LARGE('Tournament Details'!$C:$C,1)+1-D5)+E5)</f>
        <v/>
      </c>
      <c r="G5" s="23" t="str">
        <f>D6</f>
        <v/>
      </c>
      <c r="H5" s="25" t="str">
        <f>IF(D5="","",IF(VLOOKUP(D5,'Tournament Details'!$C:$G,5,FALSE)="",D5,VLOOKUP(D5,'Tournament Details'!$C:$G,5,FALSE)))</f>
        <v/>
      </c>
      <c r="I5" s="7" t="str">
        <f>IF(D5=0,"",IF(VLOOKUP(D5,'Tournament Details'!$C:$E,3,FALSE)&gt;0,VLOOKUP(D5,'Tournament Details'!$C:$E,3,FALSE),""))</f>
        <v/>
      </c>
      <c r="J5" s="123"/>
      <c r="K5" s="123"/>
      <c r="L5" s="23"/>
      <c r="M5" s="23"/>
      <c r="N5" s="23"/>
      <c r="O5" s="23"/>
      <c r="P5" s="186">
        <v>0</v>
      </c>
      <c r="Q5" s="183">
        <f t="shared" si="1"/>
        <v>0</v>
      </c>
      <c r="R5" s="135" t="str">
        <f t="shared" si="2"/>
        <v/>
      </c>
      <c r="S5" s="135" t="str">
        <f>IF(Q5="","",IF(Q5+Q6&lt;&gt;20,IF(Q5+Q6&lt;&gt;0,"!",""),""))</f>
        <v/>
      </c>
      <c r="T5" s="21" t="str">
        <f t="shared" si="3"/>
        <v/>
      </c>
      <c r="U5" s="132">
        <f>IF(D5="",0,VLOOKUP(D5,'Tournament Details'!$C:$X,22,FALSE))</f>
        <v>0</v>
      </c>
      <c r="V5" s="132">
        <f>IF(D5="",0,VLOOKUP(D5,'Tournament Details'!$C:$Y,23,FALSE))</f>
        <v>0</v>
      </c>
      <c r="W5" s="132">
        <f>IF(D5="",0,VLOOKUP(D5,'Tournament Details'!$C:$Z,24,FALSE))</f>
        <v>0</v>
      </c>
      <c r="X5" s="132">
        <f>IF(D5="",0,VLOOKUP(D5,'Tournament Details'!$C:$AA,25,FALSE))</f>
        <v>0</v>
      </c>
      <c r="Y5" s="40" t="str">
        <f>IF(D5="","",IF(COUNTIF(D:D,D5)&gt;1,"DUPLICATE PLAYER",IF(D6="","NO OPPONENT",IF(D6=U5,"REPEAT MATCHUP",IF(H5=H6,"SAME TEAM","")))))</f>
        <v/>
      </c>
      <c r="Z5" s="40"/>
      <c r="AA5" t="str">
        <f>IF(Y5="NO OPPONENT","",IF(Y5&lt;&gt;"",CONCATENATE("Previous Matchup Player #: ",VLOOKUP(D5,'Tournament Details'!$C:$X,22,FALSE)),""))</f>
        <v/>
      </c>
    </row>
    <row r="6" spans="1:27" ht="15" customHeight="1" thickBot="1" x14ac:dyDescent="0.35">
      <c r="A6" s="224"/>
      <c r="B6" s="43">
        <f t="shared" si="0"/>
        <v>0</v>
      </c>
      <c r="C6" s="44" t="str">
        <f t="shared" si="4"/>
        <v/>
      </c>
      <c r="D6" s="74" t="str">
        <f>IF('Tournament Details'!A1&gt;=1,IF('Tournament Details'!C10&lt;=LARGE('Round 1'!$C:$C,1),VLOOKUP(SMALL('Round 1'!$C:$C,4),'Round 1'!$C:$D,2,FALSE),""),"")</f>
        <v/>
      </c>
      <c r="E6" s="44" t="str">
        <f>IF(D6="","",B6+VLOOKUP(D6,'Round 1'!$D:$E,2,FALSE))</f>
        <v/>
      </c>
      <c r="F6" s="44" t="str">
        <f>IF(D6="","",(LARGE('Tournament Details'!$C:$C,1)+1-D6)+E6)</f>
        <v/>
      </c>
      <c r="G6" s="24" t="str">
        <f>D5</f>
        <v/>
      </c>
      <c r="H6" s="26" t="str">
        <f>IF(D6="","",IF(VLOOKUP(D6,'Tournament Details'!$C:$G,5,FALSE)="",D6,VLOOKUP(D6,'Tournament Details'!$C:$G,5,FALSE)))</f>
        <v/>
      </c>
      <c r="I6" s="12" t="str">
        <f>IF(D6=0,"",IF(VLOOKUP(D6,'Tournament Details'!$C:$E,3,FALSE)&gt;0,VLOOKUP(D6,'Tournament Details'!$C:$E,3,FALSE),""))</f>
        <v/>
      </c>
      <c r="J6" s="124"/>
      <c r="K6" s="124"/>
      <c r="L6" s="23"/>
      <c r="M6" s="24"/>
      <c r="N6" s="24"/>
      <c r="O6" s="24"/>
      <c r="P6" s="187">
        <v>0</v>
      </c>
      <c r="Q6" s="183">
        <f t="shared" si="1"/>
        <v>0</v>
      </c>
      <c r="R6" s="135" t="str">
        <f t="shared" si="2"/>
        <v/>
      </c>
      <c r="S6" s="135" t="str">
        <f>IF(Q6="","",IF(Q5+Q6&lt;&gt;20,IF(Q5+Q6&lt;&gt;0,"!",""),""))</f>
        <v/>
      </c>
      <c r="T6" s="21" t="str">
        <f t="shared" si="3"/>
        <v/>
      </c>
      <c r="U6" s="132">
        <f>IF(D6="",0,VLOOKUP(D6,'Tournament Details'!$C:$X,22,FALSE))</f>
        <v>0</v>
      </c>
      <c r="V6" s="132">
        <f>IF(D6="",0,VLOOKUP(D6,'Tournament Details'!$C:$Y,23,FALSE))</f>
        <v>0</v>
      </c>
      <c r="W6" s="132">
        <f>IF(D6="",0,VLOOKUP(D6,'Tournament Details'!$C:$Z,24,FALSE))</f>
        <v>0</v>
      </c>
      <c r="X6" s="132">
        <f>IF(D6="",0,VLOOKUP(D6,'Tournament Details'!$C:$AA,25,FALSE))</f>
        <v>0</v>
      </c>
      <c r="Y6" s="40" t="str">
        <f>IF(D6="","",IF(COUNTIF(D:D,D6)&gt;1,"DUPLICATE PLAYER",IF(D5="","NO OPPONENT",IF(D5=U6,"REPEAT MATCHUP",IF(H6=H5,"SAME TEAM","")))))</f>
        <v/>
      </c>
      <c r="Z6" s="40"/>
      <c r="AA6" t="str">
        <f>IF(Y6="NO OPPONENT","",IF(Y6&lt;&gt;"",CONCATENATE("Previous Matchup Player #: ",VLOOKUP(D6,'Tournament Details'!$C:$X,22,FALSE)),""))</f>
        <v/>
      </c>
    </row>
    <row r="7" spans="1:27" ht="15" customHeight="1" thickBot="1" x14ac:dyDescent="0.35">
      <c r="A7" s="224" t="str">
        <f>IF('Tournament Details'!A1&gt;=1,IF(LARGE('Tournament Details'!C7:C86,1)&gt;=6,3,""),"")</f>
        <v/>
      </c>
      <c r="B7" s="42">
        <f t="shared" si="0"/>
        <v>0</v>
      </c>
      <c r="C7" s="44" t="str">
        <f t="shared" si="4"/>
        <v/>
      </c>
      <c r="D7" s="66" t="str">
        <f>IF('Tournament Details'!A1&gt;=1,IF('Tournament Details'!C11&lt;=LARGE('Round 1'!$C:$C,1),VLOOKUP(SMALL('Round 1'!$C:$C,5),'Round 1'!$C:$D,2,FALSE),""),"")</f>
        <v/>
      </c>
      <c r="E7" s="44" t="str">
        <f>IF(D7="","",B7+VLOOKUP(D7,'Round 1'!$D:$E,2,FALSE))</f>
        <v/>
      </c>
      <c r="F7" s="44" t="str">
        <f>IF(D7="","",(LARGE('Tournament Details'!$C:$C,1)+1-D7)+E7)</f>
        <v/>
      </c>
      <c r="G7" s="23" t="str">
        <f>D8</f>
        <v/>
      </c>
      <c r="H7" s="25" t="str">
        <f>IF(D7="","",IF(VLOOKUP(D7,'Tournament Details'!$C:$G,5,FALSE)="",D7,VLOOKUP(D7,'Tournament Details'!$C:$G,5,FALSE)))</f>
        <v/>
      </c>
      <c r="I7" s="7" t="str">
        <f>IF(D7=0,"",IF(VLOOKUP(D7,'Tournament Details'!$C:$E,3,FALSE)&gt;0,VLOOKUP(D7,'Tournament Details'!$C:$E,3,FALSE),""))</f>
        <v/>
      </c>
      <c r="J7" s="123"/>
      <c r="K7" s="123"/>
      <c r="L7" s="23"/>
      <c r="M7" s="23"/>
      <c r="N7" s="23"/>
      <c r="O7" s="23"/>
      <c r="P7" s="186">
        <v>0</v>
      </c>
      <c r="Q7" s="183">
        <f t="shared" si="1"/>
        <v>0</v>
      </c>
      <c r="R7" s="135" t="str">
        <f t="shared" si="2"/>
        <v/>
      </c>
      <c r="S7" s="135" t="str">
        <f>IF(Q7="","",IF(Q7+Q8&lt;&gt;20,IF(Q7+Q8&lt;&gt;0,"!",""),""))</f>
        <v/>
      </c>
      <c r="T7" s="21" t="str">
        <f t="shared" si="3"/>
        <v/>
      </c>
      <c r="U7" s="132">
        <f>IF(D7="",0,VLOOKUP(D7,'Tournament Details'!$C:$X,22,FALSE))</f>
        <v>0</v>
      </c>
      <c r="V7" s="132">
        <f>IF(D7="",0,VLOOKUP(D7,'Tournament Details'!$C:$Y,23,FALSE))</f>
        <v>0</v>
      </c>
      <c r="W7" s="132">
        <f>IF(D7="",0,VLOOKUP(D7,'Tournament Details'!$C:$Z,24,FALSE))</f>
        <v>0</v>
      </c>
      <c r="X7" s="132">
        <f>IF(D7="",0,VLOOKUP(D7,'Tournament Details'!$C:$AA,25,FALSE))</f>
        <v>0</v>
      </c>
      <c r="Y7" s="40" t="str">
        <f>IF(D7="","",IF(COUNTIF(D:D,D7)&gt;1,"DUPLICATE PLAYER",IF(D8="","NO OPPONENT",IF(D8=U7,"REPEAT MATCHUP",IF(H7=H8,"SAME TEAM","")))))</f>
        <v/>
      </c>
      <c r="Z7" s="40"/>
      <c r="AA7" t="str">
        <f>IF(Y7="NO OPPONENT","",IF(Y7&lt;&gt;"",CONCATENATE("Previous Matchup Player #: ",VLOOKUP(D7,'Tournament Details'!$C:$X,22,FALSE)),""))</f>
        <v/>
      </c>
    </row>
    <row r="8" spans="1:27" ht="15" customHeight="1" thickBot="1" x14ac:dyDescent="0.35">
      <c r="A8" s="224"/>
      <c r="B8" s="43">
        <f t="shared" si="0"/>
        <v>0</v>
      </c>
      <c r="C8" s="44" t="str">
        <f t="shared" si="4"/>
        <v/>
      </c>
      <c r="D8" s="74" t="str">
        <f>IF('Tournament Details'!A1&gt;=1,IF('Tournament Details'!C12&lt;=LARGE('Round 1'!$C:$C,1),VLOOKUP(SMALL('Round 1'!$C:$C,6),'Round 1'!$C:$D,2,FALSE),""),"")</f>
        <v/>
      </c>
      <c r="E8" s="44" t="str">
        <f>IF(D8="","",B8+VLOOKUP(D8,'Round 1'!$D:$E,2,FALSE))</f>
        <v/>
      </c>
      <c r="F8" s="44" t="str">
        <f>IF(D8="","",(LARGE('Tournament Details'!$C:$C,1)+1-D8)+E8)</f>
        <v/>
      </c>
      <c r="G8" s="24" t="str">
        <f>D7</f>
        <v/>
      </c>
      <c r="H8" s="26" t="str">
        <f>IF(D8="","",IF(VLOOKUP(D8,'Tournament Details'!$C:$G,5,FALSE)="",D8,VLOOKUP(D8,'Tournament Details'!$C:$G,5,FALSE)))</f>
        <v/>
      </c>
      <c r="I8" s="12" t="str">
        <f>IF(D8=0,"",IF(VLOOKUP(D8,'Tournament Details'!$C:$E,3,FALSE)&gt;0,VLOOKUP(D8,'Tournament Details'!$C:$E,3,FALSE),""))</f>
        <v/>
      </c>
      <c r="J8" s="124"/>
      <c r="K8" s="124"/>
      <c r="L8" s="23"/>
      <c r="M8" s="24"/>
      <c r="N8" s="24"/>
      <c r="O8" s="24"/>
      <c r="P8" s="187">
        <v>0</v>
      </c>
      <c r="Q8" s="183">
        <f t="shared" si="1"/>
        <v>0</v>
      </c>
      <c r="R8" s="135" t="str">
        <f t="shared" si="2"/>
        <v/>
      </c>
      <c r="S8" s="135" t="str">
        <f>IF(Q8="","",IF(Q7+Q8&lt;&gt;20,IF(Q7+Q8&lt;&gt;0,"!",""),""))</f>
        <v/>
      </c>
      <c r="T8" s="21" t="str">
        <f t="shared" si="3"/>
        <v/>
      </c>
      <c r="U8" s="132">
        <f>IF(D8="",0,VLOOKUP(D8,'Tournament Details'!$C:$X,22,FALSE))</f>
        <v>0</v>
      </c>
      <c r="V8" s="132">
        <f>IF(D8="",0,VLOOKUP(D8,'Tournament Details'!$C:$Y,23,FALSE))</f>
        <v>0</v>
      </c>
      <c r="W8" s="132">
        <f>IF(D8="",0,VLOOKUP(D8,'Tournament Details'!$C:$Z,24,FALSE))</f>
        <v>0</v>
      </c>
      <c r="X8" s="132">
        <f>IF(D8="",0,VLOOKUP(D8,'Tournament Details'!$C:$AA,25,FALSE))</f>
        <v>0</v>
      </c>
      <c r="Y8" s="40" t="str">
        <f>IF(D8="","",IF(COUNTIF(D:D,D8)&gt;1,"DUPLICATE PLAYER",IF(D7="","NO OPPONENT",IF(D7=U8,"REPEAT MATCHUP",IF(H8=H7,"SAME TEAM","")))))</f>
        <v/>
      </c>
      <c r="Z8" s="40"/>
      <c r="AA8" t="str">
        <f>IF(Y8="NO OPPONENT","",IF(Y8&lt;&gt;"",CONCATENATE("Previous Matchup Player #: ",VLOOKUP(D8,'Tournament Details'!$C:$X,22,FALSE)),""))</f>
        <v/>
      </c>
    </row>
    <row r="9" spans="1:27" ht="15" customHeight="1" thickBot="1" x14ac:dyDescent="0.35">
      <c r="A9" s="224" t="str">
        <f>IF('Tournament Details'!A1&gt;=1,IF(LARGE('Tournament Details'!C7:C86,1)&gt;=8,4,""),"")</f>
        <v/>
      </c>
      <c r="B9" s="42">
        <f t="shared" si="0"/>
        <v>0</v>
      </c>
      <c r="C9" s="44" t="str">
        <f t="shared" si="4"/>
        <v/>
      </c>
      <c r="D9" s="66" t="str">
        <f>IF('Tournament Details'!A1&gt;=1,IF('Tournament Details'!C13&lt;=LARGE('Round 1'!$C:$C,1),VLOOKUP(SMALL('Round 1'!$C:$C,7),'Round 1'!$C:$D,2,FALSE),""),"")</f>
        <v/>
      </c>
      <c r="E9" s="44" t="str">
        <f>IF(D9="","",B9+VLOOKUP(D9,'Round 1'!$D:$E,2,FALSE))</f>
        <v/>
      </c>
      <c r="F9" s="44" t="str">
        <f>IF(D9="","",(LARGE('Tournament Details'!$C:$C,1)+1-D9)+E9)</f>
        <v/>
      </c>
      <c r="G9" s="23" t="str">
        <f>D10</f>
        <v/>
      </c>
      <c r="H9" s="25" t="str">
        <f>IF(D9="","",IF(VLOOKUP(D9,'Tournament Details'!$C:$G,5,FALSE)="",D9,VLOOKUP(D9,'Tournament Details'!$C:$G,5,FALSE)))</f>
        <v/>
      </c>
      <c r="I9" s="7" t="str">
        <f>IF(D9=0,"",IF(VLOOKUP(D9,'Tournament Details'!$C:$E,3,FALSE)&gt;0,VLOOKUP(D9,'Tournament Details'!$C:$E,3,FALSE),""))</f>
        <v/>
      </c>
      <c r="J9" s="123"/>
      <c r="K9" s="123"/>
      <c r="L9" s="23"/>
      <c r="M9" s="23"/>
      <c r="N9" s="23"/>
      <c r="O9" s="23"/>
      <c r="P9" s="186">
        <v>0</v>
      </c>
      <c r="Q9" s="183">
        <f t="shared" si="1"/>
        <v>0</v>
      </c>
      <c r="R9" s="135" t="str">
        <f t="shared" si="2"/>
        <v/>
      </c>
      <c r="S9" s="135" t="str">
        <f>IF(Q9="","",IF(Q9+Q10&lt;&gt;20,IF(Q9+Q10&lt;&gt;0,"!",""),""))</f>
        <v/>
      </c>
      <c r="T9" s="21" t="str">
        <f t="shared" si="3"/>
        <v/>
      </c>
      <c r="U9" s="132">
        <f>IF(D9="",0,VLOOKUP(D9,'Tournament Details'!$C:$X,22,FALSE))</f>
        <v>0</v>
      </c>
      <c r="V9" s="132">
        <f>IF(D9="",0,VLOOKUP(D9,'Tournament Details'!$C:$Y,23,FALSE))</f>
        <v>0</v>
      </c>
      <c r="W9" s="132">
        <f>IF(D9="",0,VLOOKUP(D9,'Tournament Details'!$C:$Z,24,FALSE))</f>
        <v>0</v>
      </c>
      <c r="X9" s="132">
        <f>IF(D9="",0,VLOOKUP(D9,'Tournament Details'!$C:$AA,25,FALSE))</f>
        <v>0</v>
      </c>
      <c r="Y9" s="40" t="str">
        <f>IF(D9="","",IF(COUNTIF(D:D,D9)&gt;1,"DUPLICATE PLAYER",IF(D10="","NO OPPONENT",IF(D10=U9,"REPEAT MATCHUP",IF(H9=H10,"SAME TEAM","")))))</f>
        <v/>
      </c>
      <c r="Z9" s="40"/>
      <c r="AA9" t="str">
        <f>IF(Y9="NO OPPONENT","",IF(Y9&lt;&gt;"",CONCATENATE("Previous Matchup Player #: ",VLOOKUP(D9,'Tournament Details'!$C:$X,22,FALSE)),""))</f>
        <v/>
      </c>
    </row>
    <row r="10" spans="1:27" ht="15" customHeight="1" thickBot="1" x14ac:dyDescent="0.35">
      <c r="A10" s="224"/>
      <c r="B10" s="43">
        <f t="shared" si="0"/>
        <v>0</v>
      </c>
      <c r="C10" s="44" t="str">
        <f t="shared" si="4"/>
        <v/>
      </c>
      <c r="D10" s="74" t="str">
        <f>IF('Tournament Details'!A1&gt;=1,IF('Tournament Details'!C14&lt;=LARGE('Round 1'!$C:$C,1),VLOOKUP(SMALL('Round 1'!$C:$C,8),'Round 1'!$C:$D,2,FALSE),""),"")</f>
        <v/>
      </c>
      <c r="E10" s="44" t="str">
        <f>IF(D10="","",B10+VLOOKUP(D10,'Round 1'!$D:$E,2,FALSE))</f>
        <v/>
      </c>
      <c r="F10" s="44" t="str">
        <f>IF(D10="","",(LARGE('Tournament Details'!$C:$C,1)+1-D10)+E10)</f>
        <v/>
      </c>
      <c r="G10" s="24" t="str">
        <f>D9</f>
        <v/>
      </c>
      <c r="H10" s="26" t="str">
        <f>IF(D10="","",IF(VLOOKUP(D10,'Tournament Details'!$C:$G,5,FALSE)="",D10,VLOOKUP(D10,'Tournament Details'!$C:$G,5,FALSE)))</f>
        <v/>
      </c>
      <c r="I10" s="12" t="str">
        <f>IF(D10=0,"",IF(VLOOKUP(D10,'Tournament Details'!$C:$E,3,FALSE)&gt;0,VLOOKUP(D10,'Tournament Details'!$C:$E,3,FALSE),""))</f>
        <v/>
      </c>
      <c r="J10" s="124"/>
      <c r="K10" s="124"/>
      <c r="L10" s="23"/>
      <c r="M10" s="24"/>
      <c r="N10" s="24"/>
      <c r="O10" s="24"/>
      <c r="P10" s="187">
        <v>0</v>
      </c>
      <c r="Q10" s="183">
        <f t="shared" si="1"/>
        <v>0</v>
      </c>
      <c r="R10" s="135" t="str">
        <f t="shared" si="2"/>
        <v/>
      </c>
      <c r="S10" s="135" t="str">
        <f>IF(Q10="","",IF(Q9+Q10&lt;&gt;20,IF(Q9+Q10&lt;&gt;0,"!",""),""))</f>
        <v/>
      </c>
      <c r="T10" s="21" t="str">
        <f t="shared" si="3"/>
        <v/>
      </c>
      <c r="U10" s="132">
        <f>IF(D10="",0,VLOOKUP(D10,'Tournament Details'!$C:$X,22,FALSE))</f>
        <v>0</v>
      </c>
      <c r="V10" s="132">
        <f>IF(D10="",0,VLOOKUP(D10,'Tournament Details'!$C:$Y,23,FALSE))</f>
        <v>0</v>
      </c>
      <c r="W10" s="132">
        <f>IF(D10="",0,VLOOKUP(D10,'Tournament Details'!$C:$Z,24,FALSE))</f>
        <v>0</v>
      </c>
      <c r="X10" s="132">
        <f>IF(D10="",0,VLOOKUP(D10,'Tournament Details'!$C:$AA,25,FALSE))</f>
        <v>0</v>
      </c>
      <c r="Y10" s="40" t="str">
        <f>IF(D10="","",IF(COUNTIF(D:D,D10)&gt;1,"DUPLICATE PLAYER",IF(D9="","NO OPPONENT",IF(D9=U10,"REPEAT MATCHUP",IF(H10=H9,"SAME TEAM","")))))</f>
        <v/>
      </c>
      <c r="Z10" s="40"/>
      <c r="AA10" t="str">
        <f>IF(Y10="NO OPPONENT","",IF(Y10&lt;&gt;"",CONCATENATE("Previous Matchup Player #: ",VLOOKUP(D10,'Tournament Details'!$C:$X,22,FALSE)),""))</f>
        <v/>
      </c>
    </row>
    <row r="11" spans="1:27" ht="15" customHeight="1" thickBot="1" x14ac:dyDescent="0.35">
      <c r="A11" s="224" t="str">
        <f>IF('Tournament Details'!A1&gt;=1,IF(LARGE('Tournament Details'!C7:C86,1)&gt;=10,5,""),"")</f>
        <v/>
      </c>
      <c r="B11" s="42">
        <f t="shared" si="0"/>
        <v>0</v>
      </c>
      <c r="C11" s="44" t="str">
        <f t="shared" si="4"/>
        <v/>
      </c>
      <c r="D11" s="66" t="str">
        <f>IF('Tournament Details'!A1&gt;=1,IF('Tournament Details'!C15&lt;=LARGE('Round 1'!$C:$C,1),VLOOKUP(SMALL('Round 1'!$C:$C,9),'Round 1'!$C:$D,2,FALSE),""),"")</f>
        <v/>
      </c>
      <c r="E11" s="44" t="str">
        <f>IF(D11="","",B11+VLOOKUP(D11,'Round 1'!$D:$E,2,FALSE))</f>
        <v/>
      </c>
      <c r="F11" s="44" t="str">
        <f>IF(D11="","",(LARGE('Tournament Details'!$C:$C,1)+1-D11)+E11)</f>
        <v/>
      </c>
      <c r="G11" s="23" t="str">
        <f>D12</f>
        <v/>
      </c>
      <c r="H11" s="25" t="str">
        <f>IF(D11="","",IF(VLOOKUP(D11,'Tournament Details'!$C:$G,5,FALSE)="",D11,VLOOKUP(D11,'Tournament Details'!$C:$G,5,FALSE)))</f>
        <v/>
      </c>
      <c r="I11" s="7" t="str">
        <f>IF(D11=0,"",IF(VLOOKUP(D11,'Tournament Details'!$C:$E,3,FALSE)&gt;0,VLOOKUP(D11,'Tournament Details'!$C:$E,3,FALSE),""))</f>
        <v/>
      </c>
      <c r="J11" s="123"/>
      <c r="K11" s="123"/>
      <c r="L11" s="23"/>
      <c r="M11" s="23"/>
      <c r="N11" s="23"/>
      <c r="O11" s="23"/>
      <c r="P11" s="186">
        <v>0</v>
      </c>
      <c r="Q11" s="183">
        <f t="shared" si="1"/>
        <v>0</v>
      </c>
      <c r="R11" s="135" t="str">
        <f t="shared" si="2"/>
        <v/>
      </c>
      <c r="S11" s="135" t="str">
        <f>IF(Q11="","",IF(Q11+Q12&lt;&gt;20,IF(Q11+Q12&lt;&gt;0,"!",""),""))</f>
        <v/>
      </c>
      <c r="T11" s="21" t="str">
        <f t="shared" si="3"/>
        <v/>
      </c>
      <c r="U11" s="132">
        <f>IF(D11="",0,VLOOKUP(D11,'Tournament Details'!$C:$X,22,FALSE))</f>
        <v>0</v>
      </c>
      <c r="V11" s="132">
        <f>IF(D11="",0,VLOOKUP(D11,'Tournament Details'!$C:$Y,23,FALSE))</f>
        <v>0</v>
      </c>
      <c r="W11" s="132">
        <f>IF(D11="",0,VLOOKUP(D11,'Tournament Details'!$C:$Z,24,FALSE))</f>
        <v>0</v>
      </c>
      <c r="X11" s="132">
        <f>IF(D11="",0,VLOOKUP(D11,'Tournament Details'!$C:$AA,25,FALSE))</f>
        <v>0</v>
      </c>
      <c r="Y11" s="40" t="str">
        <f>IF(D11="","",IF(COUNTIF(D:D,D11)&gt;1,"DUPLICATE PLAYER",IF(D12="","NO OPPONENT",IF(D12=U11,"REPEAT MATCHUP",IF(H11=H12,"SAME TEAM","")))))</f>
        <v/>
      </c>
      <c r="Z11" s="40"/>
      <c r="AA11" t="str">
        <f>IF(Y11="NO OPPONENT","",IF(Y11&lt;&gt;"",CONCATENATE("Previous Matchup Player #: ",VLOOKUP(D11,'Tournament Details'!$C:$X,22,FALSE)),""))</f>
        <v/>
      </c>
    </row>
    <row r="12" spans="1:27" ht="15" customHeight="1" thickBot="1" x14ac:dyDescent="0.35">
      <c r="A12" s="224"/>
      <c r="B12" s="43">
        <f t="shared" si="0"/>
        <v>0</v>
      </c>
      <c r="C12" s="44" t="str">
        <f t="shared" si="4"/>
        <v/>
      </c>
      <c r="D12" s="74" t="str">
        <f>IF('Tournament Details'!A1&gt;=1,IF('Tournament Details'!C16&lt;=LARGE('Round 1'!$C:$C,1),VLOOKUP(SMALL('Round 1'!$C:$C,10),'Round 1'!$C:$D,2,FALSE),""),"")</f>
        <v/>
      </c>
      <c r="E12" s="44" t="str">
        <f>IF(D12="","",B12+VLOOKUP(D12,'Round 1'!$D:$E,2,FALSE))</f>
        <v/>
      </c>
      <c r="F12" s="44" t="str">
        <f>IF(D12="","",(LARGE('Tournament Details'!$C:$C,1)+1-D12)+E12)</f>
        <v/>
      </c>
      <c r="G12" s="24" t="str">
        <f>D11</f>
        <v/>
      </c>
      <c r="H12" s="26" t="str">
        <f>IF(D12="","",IF(VLOOKUP(D12,'Tournament Details'!$C:$G,5,FALSE)="",D12,VLOOKUP(D12,'Tournament Details'!$C:$G,5,FALSE)))</f>
        <v/>
      </c>
      <c r="I12" s="12" t="str">
        <f>IF(D12=0,"",IF(VLOOKUP(D12,'Tournament Details'!$C:$E,3,FALSE)&gt;0,VLOOKUP(D12,'Tournament Details'!$C:$E,3,FALSE),""))</f>
        <v/>
      </c>
      <c r="J12" s="124"/>
      <c r="K12" s="124"/>
      <c r="L12" s="23"/>
      <c r="M12" s="24"/>
      <c r="N12" s="24"/>
      <c r="O12" s="24"/>
      <c r="P12" s="187">
        <v>0</v>
      </c>
      <c r="Q12" s="183">
        <f t="shared" si="1"/>
        <v>0</v>
      </c>
      <c r="R12" s="135" t="str">
        <f t="shared" si="2"/>
        <v/>
      </c>
      <c r="S12" s="135" t="str">
        <f>IF(Q12="","",IF(Q11+Q12&lt;&gt;20,IF(Q11+Q12&lt;&gt;0,"!",""),""))</f>
        <v/>
      </c>
      <c r="T12" s="21" t="str">
        <f t="shared" si="3"/>
        <v/>
      </c>
      <c r="U12" s="132">
        <f>IF(D12="",0,VLOOKUP(D12,'Tournament Details'!$C:$X,22,FALSE))</f>
        <v>0</v>
      </c>
      <c r="V12" s="132">
        <f>IF(D12="",0,VLOOKUP(D12,'Tournament Details'!$C:$Y,23,FALSE))</f>
        <v>0</v>
      </c>
      <c r="W12" s="132">
        <f>IF(D12="",0,VLOOKUP(D12,'Tournament Details'!$C:$Z,24,FALSE))</f>
        <v>0</v>
      </c>
      <c r="X12" s="132">
        <f>IF(D12="",0,VLOOKUP(D12,'Tournament Details'!$C:$AA,25,FALSE))</f>
        <v>0</v>
      </c>
      <c r="Y12" s="40" t="str">
        <f>IF(D12="","",IF(COUNTIF(D:D,D12)&gt;1,"DUPLICATE PLAYER",IF(D11="","NO OPPONENT",IF(D11=U12,"REPEAT MATCHUP",IF(H12=H11,"SAME TEAM","")))))</f>
        <v/>
      </c>
      <c r="Z12" s="40"/>
      <c r="AA12" t="str">
        <f>IF(Y12="NO OPPONENT","",IF(Y12&lt;&gt;"",CONCATENATE("Previous Matchup Player #: ",VLOOKUP(D12,'Tournament Details'!$C:$X,22,FALSE)),""))</f>
        <v/>
      </c>
    </row>
    <row r="13" spans="1:27" ht="15" customHeight="1" thickBot="1" x14ac:dyDescent="0.35">
      <c r="A13" s="224" t="str">
        <f>IF('Tournament Details'!A1&gt;=1,IF(LARGE('Tournament Details'!C7:C86,1)&gt;=12,6,""),"")</f>
        <v/>
      </c>
      <c r="B13" s="42">
        <f t="shared" si="0"/>
        <v>0</v>
      </c>
      <c r="C13" s="44" t="str">
        <f t="shared" si="4"/>
        <v/>
      </c>
      <c r="D13" s="66" t="str">
        <f>IF('Tournament Details'!A1&gt;=1,IF('Tournament Details'!C17&lt;=LARGE('Round 1'!$C:$C,1),VLOOKUP(SMALL('Round 1'!$C:$C,11),'Round 1'!$C:$D,2,FALSE),""),"")</f>
        <v/>
      </c>
      <c r="E13" s="44" t="str">
        <f>IF(D13="","",B13+VLOOKUP(D13,'Round 1'!$D:$E,2,FALSE))</f>
        <v/>
      </c>
      <c r="F13" s="44" t="str">
        <f>IF(D13="","",(LARGE('Tournament Details'!$C:$C,1)+1-D13)+E13)</f>
        <v/>
      </c>
      <c r="G13" s="23" t="str">
        <f>D14</f>
        <v/>
      </c>
      <c r="H13" s="25" t="str">
        <f>IF(D13="","",IF(VLOOKUP(D13,'Tournament Details'!$C:$G,5,FALSE)="",D13,VLOOKUP(D13,'Tournament Details'!$C:$G,5,FALSE)))</f>
        <v/>
      </c>
      <c r="I13" s="7" t="str">
        <f>IF(D13=0,"",IF(VLOOKUP(D13,'Tournament Details'!$C:$E,3,FALSE)&gt;0,VLOOKUP(D13,'Tournament Details'!$C:$E,3,FALSE),""))</f>
        <v/>
      </c>
      <c r="J13" s="123"/>
      <c r="K13" s="123"/>
      <c r="L13" s="23"/>
      <c r="M13" s="23"/>
      <c r="N13" s="23"/>
      <c r="O13" s="23"/>
      <c r="P13" s="186">
        <v>0</v>
      </c>
      <c r="Q13" s="183">
        <f t="shared" si="1"/>
        <v>0</v>
      </c>
      <c r="R13" s="135" t="str">
        <f t="shared" si="2"/>
        <v/>
      </c>
      <c r="S13" s="135" t="str">
        <f>IF(Q13="","",IF(Q13+Q14&lt;&gt;20,IF(Q13+Q14&lt;&gt;0,"!",""),""))</f>
        <v/>
      </c>
      <c r="T13" s="21" t="str">
        <f t="shared" si="3"/>
        <v/>
      </c>
      <c r="U13" s="132">
        <f>IF(D13="",0,VLOOKUP(D13,'Tournament Details'!$C:$X,22,FALSE))</f>
        <v>0</v>
      </c>
      <c r="V13" s="132">
        <f>IF(D13="",0,VLOOKUP(D13,'Tournament Details'!$C:$Y,23,FALSE))</f>
        <v>0</v>
      </c>
      <c r="W13" s="132">
        <f>IF(D13="",0,VLOOKUP(D13,'Tournament Details'!$C:$Z,24,FALSE))</f>
        <v>0</v>
      </c>
      <c r="X13" s="132">
        <f>IF(D13="",0,VLOOKUP(D13,'Tournament Details'!$C:$AA,25,FALSE))</f>
        <v>0</v>
      </c>
      <c r="Y13" s="40" t="str">
        <f>IF(D13="","",IF(COUNTIF(D:D,D13)&gt;1,"DUPLICATE PLAYER",IF(D14="","NO OPPONENT",IF(D14=U13,"REPEAT MATCHUP",IF(H13=H14,"SAME TEAM","")))))</f>
        <v/>
      </c>
      <c r="Z13" s="40"/>
      <c r="AA13" t="str">
        <f>IF(Y13="NO OPPONENT","",IF(Y13&lt;&gt;"",CONCATENATE("Previous Matchup Player #: ",VLOOKUP(D13,'Tournament Details'!$C:$X,22,FALSE)),""))</f>
        <v/>
      </c>
    </row>
    <row r="14" spans="1:27" ht="15" customHeight="1" thickBot="1" x14ac:dyDescent="0.35">
      <c r="A14" s="224"/>
      <c r="B14" s="43">
        <f t="shared" si="0"/>
        <v>0</v>
      </c>
      <c r="C14" s="44" t="str">
        <f t="shared" si="4"/>
        <v/>
      </c>
      <c r="D14" s="74" t="str">
        <f>IF('Tournament Details'!A1&gt;=1,IF('Tournament Details'!C18&lt;=LARGE('Round 1'!$C:$C,1),VLOOKUP(SMALL('Round 1'!$C:$C,12),'Round 1'!$C:$D,2,FALSE),""),"")</f>
        <v/>
      </c>
      <c r="E14" s="44" t="str">
        <f>IF(D14="","",B14+VLOOKUP(D14,'Round 1'!$D:$E,2,FALSE))</f>
        <v/>
      </c>
      <c r="F14" s="44" t="str">
        <f>IF(D14="","",(LARGE('Tournament Details'!$C:$C,1)+1-D14)+E14)</f>
        <v/>
      </c>
      <c r="G14" s="24" t="str">
        <f>D13</f>
        <v/>
      </c>
      <c r="H14" s="26" t="str">
        <f>IF(D14="","",IF(VLOOKUP(D14,'Tournament Details'!$C:$G,5,FALSE)="",D14,VLOOKUP(D14,'Tournament Details'!$C:$G,5,FALSE)))</f>
        <v/>
      </c>
      <c r="I14" s="12" t="str">
        <f>IF(D14=0,"",IF(VLOOKUP(D14,'Tournament Details'!$C:$E,3,FALSE)&gt;0,VLOOKUP(D14,'Tournament Details'!$C:$E,3,FALSE),""))</f>
        <v/>
      </c>
      <c r="J14" s="124"/>
      <c r="K14" s="124"/>
      <c r="L14" s="23"/>
      <c r="M14" s="24"/>
      <c r="N14" s="24"/>
      <c r="O14" s="24"/>
      <c r="P14" s="187">
        <v>0</v>
      </c>
      <c r="Q14" s="183">
        <f t="shared" si="1"/>
        <v>0</v>
      </c>
      <c r="R14" s="135" t="str">
        <f t="shared" si="2"/>
        <v/>
      </c>
      <c r="S14" s="135" t="str">
        <f>IF(Q14="","",IF(Q13+Q14&lt;&gt;20,IF(Q13+Q14&lt;&gt;0,"!",""),""))</f>
        <v/>
      </c>
      <c r="T14" s="21" t="str">
        <f t="shared" si="3"/>
        <v/>
      </c>
      <c r="U14" s="132">
        <f>IF(D14="",0,VLOOKUP(D14,'Tournament Details'!$C:$X,22,FALSE))</f>
        <v>0</v>
      </c>
      <c r="V14" s="132">
        <f>IF(D14="",0,VLOOKUP(D14,'Tournament Details'!$C:$Y,23,FALSE))</f>
        <v>0</v>
      </c>
      <c r="W14" s="132">
        <f>IF(D14="",0,VLOOKUP(D14,'Tournament Details'!$C:$Z,24,FALSE))</f>
        <v>0</v>
      </c>
      <c r="X14" s="132">
        <f>IF(D14="",0,VLOOKUP(D14,'Tournament Details'!$C:$AA,25,FALSE))</f>
        <v>0</v>
      </c>
      <c r="Y14" s="40" t="str">
        <f>IF(D14="","",IF(COUNTIF(D:D,D14)&gt;1,"DUPLICATE PLAYER",IF(D13="","NO OPPONENT",IF(D13=U14,"REPEAT MATCHUP",IF(H14=H13,"SAME TEAM","")))))</f>
        <v/>
      </c>
      <c r="Z14" s="40"/>
      <c r="AA14" t="str">
        <f>IF(Y14="NO OPPONENT","",IF(Y14&lt;&gt;"",CONCATENATE("Previous Matchup Player #: ",VLOOKUP(D14,'Tournament Details'!$C:$X,22,FALSE)),""))</f>
        <v/>
      </c>
    </row>
    <row r="15" spans="1:27" ht="15" customHeight="1" thickBot="1" x14ac:dyDescent="0.35">
      <c r="A15" s="224" t="str">
        <f>IF('Tournament Details'!A1&gt;=1,IF(LARGE('Tournament Details'!C7:C86,1)&gt;=14,7,""),"")</f>
        <v/>
      </c>
      <c r="B15" s="42">
        <f t="shared" si="0"/>
        <v>0</v>
      </c>
      <c r="C15" s="44" t="str">
        <f t="shared" si="4"/>
        <v/>
      </c>
      <c r="D15" s="66" t="str">
        <f>IF('Tournament Details'!A1&gt;=1,IF('Tournament Details'!C19&lt;=LARGE('Round 1'!$C:$C,1),VLOOKUP(SMALL('Round 1'!$C:$C,13),'Round 1'!$C:$D,2,FALSE),""),"")</f>
        <v/>
      </c>
      <c r="E15" s="44" t="str">
        <f>IF(D15="","",B15+VLOOKUP(D15,'Round 1'!$D:$E,2,FALSE))</f>
        <v/>
      </c>
      <c r="F15" s="44" t="str">
        <f>IF(D15="","",(LARGE('Tournament Details'!$C:$C,1)+1-D15)+E15)</f>
        <v/>
      </c>
      <c r="G15" s="23" t="str">
        <f>D16</f>
        <v/>
      </c>
      <c r="H15" s="25" t="str">
        <f>IF(D15="","",IF(VLOOKUP(D15,'Tournament Details'!$C:$G,5,FALSE)="",D15,VLOOKUP(D15,'Tournament Details'!$C:$G,5,FALSE)))</f>
        <v/>
      </c>
      <c r="I15" s="7" t="str">
        <f>IF(D15=0,"",IF(VLOOKUP(D15,'Tournament Details'!$C:$E,3,FALSE)&gt;0,VLOOKUP(D15,'Tournament Details'!$C:$E,3,FALSE),""))</f>
        <v/>
      </c>
      <c r="J15" s="123"/>
      <c r="K15" s="123"/>
      <c r="L15" s="23"/>
      <c r="M15" s="23"/>
      <c r="N15" s="23"/>
      <c r="O15" s="23"/>
      <c r="P15" s="186">
        <v>0</v>
      </c>
      <c r="Q15" s="183">
        <f t="shared" si="1"/>
        <v>0</v>
      </c>
      <c r="R15" s="135" t="str">
        <f t="shared" si="2"/>
        <v/>
      </c>
      <c r="S15" s="135" t="str">
        <f>IF(Q15="","",IF(Q15+Q16&lt;&gt;20,IF(Q15+Q16&lt;&gt;0,"!",""),""))</f>
        <v/>
      </c>
      <c r="T15" s="21" t="str">
        <f t="shared" si="3"/>
        <v/>
      </c>
      <c r="U15" s="132">
        <f>IF(D15="",0,VLOOKUP(D15,'Tournament Details'!$C:$X,22,FALSE))</f>
        <v>0</v>
      </c>
      <c r="V15" s="132">
        <f>IF(D15="",0,VLOOKUP(D15,'Tournament Details'!$C:$Y,23,FALSE))</f>
        <v>0</v>
      </c>
      <c r="W15" s="132">
        <f>IF(D15="",0,VLOOKUP(D15,'Tournament Details'!$C:$Z,24,FALSE))</f>
        <v>0</v>
      </c>
      <c r="X15" s="132">
        <f>IF(D15="",0,VLOOKUP(D15,'Tournament Details'!$C:$AA,25,FALSE))</f>
        <v>0</v>
      </c>
      <c r="Y15" s="40" t="str">
        <f>IF(D15="","",IF(COUNTIF(D:D,D15)&gt;1,"DUPLICATE PLAYER",IF(D16="","NO OPPONENT",IF(D16=U15,"REPEAT MATCHUP",IF(H15=H16,"SAME TEAM","")))))</f>
        <v/>
      </c>
      <c r="Z15" s="40"/>
      <c r="AA15" t="str">
        <f>IF(Y15="NO OPPONENT","",IF(Y15&lt;&gt;"",CONCATENATE("Previous Matchup Player #: ",VLOOKUP(D15,'Tournament Details'!$C:$X,22,FALSE)),""))</f>
        <v/>
      </c>
    </row>
    <row r="16" spans="1:27" ht="15" customHeight="1" thickBot="1" x14ac:dyDescent="0.35">
      <c r="A16" s="224"/>
      <c r="B16" s="43">
        <f t="shared" si="0"/>
        <v>0</v>
      </c>
      <c r="C16" s="44" t="str">
        <f t="shared" si="4"/>
        <v/>
      </c>
      <c r="D16" s="74" t="str">
        <f>IF('Tournament Details'!A1&gt;=1,IF('Tournament Details'!C20&lt;=LARGE('Round 1'!$C:$C,1),VLOOKUP(SMALL('Round 1'!$C:$C,14),'Round 1'!$C:$D,2,FALSE),""),"")</f>
        <v/>
      </c>
      <c r="E16" s="44" t="str">
        <f>IF(D16="","",B16+VLOOKUP(D16,'Round 1'!$D:$E,2,FALSE))</f>
        <v/>
      </c>
      <c r="F16" s="44" t="str">
        <f>IF(D16="","",(LARGE('Tournament Details'!$C:$C,1)+1-D16)+E16)</f>
        <v/>
      </c>
      <c r="G16" s="24" t="str">
        <f>D15</f>
        <v/>
      </c>
      <c r="H16" s="26" t="str">
        <f>IF(D16="","",IF(VLOOKUP(D16,'Tournament Details'!$C:$G,5,FALSE)="",D16,VLOOKUP(D16,'Tournament Details'!$C:$G,5,FALSE)))</f>
        <v/>
      </c>
      <c r="I16" s="12" t="str">
        <f>IF(D16=0,"",IF(VLOOKUP(D16,'Tournament Details'!$C:$E,3,FALSE)&gt;0,VLOOKUP(D16,'Tournament Details'!$C:$E,3,FALSE),""))</f>
        <v/>
      </c>
      <c r="J16" s="124"/>
      <c r="K16" s="124"/>
      <c r="L16" s="23"/>
      <c r="M16" s="24"/>
      <c r="N16" s="24"/>
      <c r="O16" s="24"/>
      <c r="P16" s="187">
        <v>0</v>
      </c>
      <c r="Q16" s="183">
        <f t="shared" si="1"/>
        <v>0</v>
      </c>
      <c r="R16" s="135" t="str">
        <f t="shared" si="2"/>
        <v/>
      </c>
      <c r="S16" s="135" t="str">
        <f>IF(Q16="","",IF(Q15+Q16&lt;&gt;20,IF(Q15+Q16&lt;&gt;0,"!",""),""))</f>
        <v/>
      </c>
      <c r="T16" s="21" t="str">
        <f t="shared" si="3"/>
        <v/>
      </c>
      <c r="U16" s="132">
        <f>IF(D16="",0,VLOOKUP(D16,'Tournament Details'!$C:$X,22,FALSE))</f>
        <v>0</v>
      </c>
      <c r="V16" s="132">
        <f>IF(D16="",0,VLOOKUP(D16,'Tournament Details'!$C:$Y,23,FALSE))</f>
        <v>0</v>
      </c>
      <c r="W16" s="132">
        <f>IF(D16="",0,VLOOKUP(D16,'Tournament Details'!$C:$Z,24,FALSE))</f>
        <v>0</v>
      </c>
      <c r="X16" s="132">
        <f>IF(D16="",0,VLOOKUP(D16,'Tournament Details'!$C:$AA,25,FALSE))</f>
        <v>0</v>
      </c>
      <c r="Y16" s="40" t="str">
        <f>IF(D16="","",IF(COUNTIF(D:D,D16)&gt;1,"DUPLICATE PLAYER",IF(D15="","NO OPPONENT",IF(D15=U16,"REPEAT MATCHUP",IF(H16=H15,"SAME TEAM","")))))</f>
        <v/>
      </c>
      <c r="Z16" s="40"/>
      <c r="AA16" t="str">
        <f>IF(Y16="NO OPPONENT","",IF(Y16&lt;&gt;"",CONCATENATE("Previous Matchup Player #: ",VLOOKUP(D16,'Tournament Details'!$C:$X,22,FALSE)),""))</f>
        <v/>
      </c>
    </row>
    <row r="17" spans="1:27" ht="15" customHeight="1" thickBot="1" x14ac:dyDescent="0.35">
      <c r="A17" s="224" t="str">
        <f>IF('Tournament Details'!A1&gt;=1,IF(LARGE('Tournament Details'!C7:C86,1)&gt;=16,8,""),"")</f>
        <v/>
      </c>
      <c r="B17" s="42">
        <f t="shared" si="0"/>
        <v>0</v>
      </c>
      <c r="C17" s="44" t="str">
        <f t="shared" si="4"/>
        <v/>
      </c>
      <c r="D17" s="66" t="str">
        <f>IF('Tournament Details'!A1&gt;=1,IF('Tournament Details'!C21&lt;=LARGE('Round 1'!$C:$C,1),VLOOKUP(SMALL('Round 1'!$C:$C,15),'Round 1'!$C:$D,2,FALSE),""),"")</f>
        <v/>
      </c>
      <c r="E17" s="44" t="str">
        <f>IF(D17="","",B17+VLOOKUP(D17,'Round 1'!$D:$E,2,FALSE))</f>
        <v/>
      </c>
      <c r="F17" s="44" t="str">
        <f>IF(D17="","",(LARGE('Tournament Details'!$C:$C,1)+1-D17)+E17)</f>
        <v/>
      </c>
      <c r="G17" s="23" t="str">
        <f>D18</f>
        <v/>
      </c>
      <c r="H17" s="25" t="str">
        <f>IF(D17="","",IF(VLOOKUP(D17,'Tournament Details'!$C:$G,5,FALSE)="",D17,VLOOKUP(D17,'Tournament Details'!$C:$G,5,FALSE)))</f>
        <v/>
      </c>
      <c r="I17" s="7" t="str">
        <f>IF(D17=0,"",IF(VLOOKUP(D17,'Tournament Details'!$C:$E,3,FALSE)&gt;0,VLOOKUP(D17,'Tournament Details'!$C:$E,3,FALSE),""))</f>
        <v/>
      </c>
      <c r="J17" s="123"/>
      <c r="K17" s="123"/>
      <c r="L17" s="23"/>
      <c r="M17" s="23"/>
      <c r="N17" s="23"/>
      <c r="O17" s="23"/>
      <c r="P17" s="186">
        <v>0</v>
      </c>
      <c r="Q17" s="183">
        <f t="shared" si="1"/>
        <v>0</v>
      </c>
      <c r="R17" s="135" t="str">
        <f t="shared" si="2"/>
        <v/>
      </c>
      <c r="S17" s="135" t="str">
        <f>IF(Q17="","",IF(Q17+Q18&lt;&gt;20,IF(Q17+Q18&lt;&gt;0,"!",""),""))</f>
        <v/>
      </c>
      <c r="T17" s="21" t="str">
        <f t="shared" si="3"/>
        <v/>
      </c>
      <c r="U17" s="132">
        <f>IF(D17="",0,VLOOKUP(D17,'Tournament Details'!$C:$X,22,FALSE))</f>
        <v>0</v>
      </c>
      <c r="V17" s="132">
        <f>IF(D17="",0,VLOOKUP(D17,'Tournament Details'!$C:$Y,23,FALSE))</f>
        <v>0</v>
      </c>
      <c r="W17" s="132">
        <f>IF(D17="",0,VLOOKUP(D17,'Tournament Details'!$C:$Z,24,FALSE))</f>
        <v>0</v>
      </c>
      <c r="X17" s="132">
        <f>IF(D17="",0,VLOOKUP(D17,'Tournament Details'!$C:$AA,25,FALSE))</f>
        <v>0</v>
      </c>
      <c r="Y17" s="40" t="str">
        <f>IF(D17="","",IF(COUNTIF(D:D,D17)&gt;1,"DUPLICATE PLAYER",IF(D18="","NO OPPONENT",IF(D18=U17,"REPEAT MATCHUP",IF(H17=H18,"SAME TEAM","")))))</f>
        <v/>
      </c>
      <c r="Z17" s="40"/>
      <c r="AA17" t="str">
        <f>IF(Y17="NO OPPONENT","",IF(Y17&lt;&gt;"",CONCATENATE("Previous Matchup Player #: ",VLOOKUP(D17,'Tournament Details'!$C:$X,22,FALSE)),""))</f>
        <v/>
      </c>
    </row>
    <row r="18" spans="1:27" ht="15" customHeight="1" thickBot="1" x14ac:dyDescent="0.35">
      <c r="A18" s="224"/>
      <c r="B18" s="43">
        <f t="shared" si="0"/>
        <v>0</v>
      </c>
      <c r="C18" s="44" t="str">
        <f t="shared" si="4"/>
        <v/>
      </c>
      <c r="D18" s="74" t="str">
        <f>IF('Tournament Details'!A1&gt;=1,IF('Tournament Details'!C22&lt;=LARGE('Round 1'!$C:$C,1),VLOOKUP(SMALL('Round 1'!$C:$C,16),'Round 1'!$C:$D,2,FALSE),""),"")</f>
        <v/>
      </c>
      <c r="E18" s="44" t="str">
        <f>IF(D18="","",B18+VLOOKUP(D18,'Round 1'!$D:$E,2,FALSE))</f>
        <v/>
      </c>
      <c r="F18" s="44" t="str">
        <f>IF(D18="","",(LARGE('Tournament Details'!$C:$C,1)+1-D18)+E18)</f>
        <v/>
      </c>
      <c r="G18" s="24" t="str">
        <f>D17</f>
        <v/>
      </c>
      <c r="H18" s="26" t="str">
        <f>IF(D18="","",IF(VLOOKUP(D18,'Tournament Details'!$C:$G,5,FALSE)="",D18,VLOOKUP(D18,'Tournament Details'!$C:$G,5,FALSE)))</f>
        <v/>
      </c>
      <c r="I18" s="12" t="str">
        <f>IF(D18=0,"",IF(VLOOKUP(D18,'Tournament Details'!$C:$E,3,FALSE)&gt;0,VLOOKUP(D18,'Tournament Details'!$C:$E,3,FALSE),""))</f>
        <v/>
      </c>
      <c r="J18" s="124"/>
      <c r="K18" s="124"/>
      <c r="L18" s="23"/>
      <c r="M18" s="24"/>
      <c r="N18" s="24"/>
      <c r="O18" s="24"/>
      <c r="P18" s="187">
        <v>0</v>
      </c>
      <c r="Q18" s="183">
        <f t="shared" si="1"/>
        <v>0</v>
      </c>
      <c r="R18" s="135" t="str">
        <f t="shared" si="2"/>
        <v/>
      </c>
      <c r="S18" s="135" t="str">
        <f>IF(Q18="","",IF(Q17+Q18&lt;&gt;20,IF(Q17+Q18&lt;&gt;0,"!",""),""))</f>
        <v/>
      </c>
      <c r="T18" s="21" t="str">
        <f t="shared" si="3"/>
        <v/>
      </c>
      <c r="U18" s="132">
        <f>IF(D18="",0,VLOOKUP(D18,'Tournament Details'!$C:$X,22,FALSE))</f>
        <v>0</v>
      </c>
      <c r="V18" s="132">
        <f>IF(D18="",0,VLOOKUP(D18,'Tournament Details'!$C:$Y,23,FALSE))</f>
        <v>0</v>
      </c>
      <c r="W18" s="132">
        <f>IF(D18="",0,VLOOKUP(D18,'Tournament Details'!$C:$Z,24,FALSE))</f>
        <v>0</v>
      </c>
      <c r="X18" s="132">
        <f>IF(D18="",0,VLOOKUP(D18,'Tournament Details'!$C:$AA,25,FALSE))</f>
        <v>0</v>
      </c>
      <c r="Y18" s="40" t="str">
        <f>IF(D18="","",IF(COUNTIF(D:D,D18)&gt;1,"DUPLICATE PLAYER",IF(D17="","NO OPPONENT",IF(D17=U18,"REPEAT MATCHUP",IF(H18=H17,"SAME TEAM","")))))</f>
        <v/>
      </c>
      <c r="Z18" s="40"/>
      <c r="AA18" t="str">
        <f>IF(Y18="NO OPPONENT","",IF(Y18&lt;&gt;"",CONCATENATE("Previous Matchup Player #: ",VLOOKUP(D18,'Tournament Details'!$C:$X,22,FALSE)),""))</f>
        <v/>
      </c>
    </row>
    <row r="19" spans="1:27" ht="15" customHeight="1" thickBot="1" x14ac:dyDescent="0.35">
      <c r="A19" s="224" t="str">
        <f>IF('Tournament Details'!A1&gt;=1,IF(LARGE('Tournament Details'!C7:C86,1)&gt;=18,9,""),"")</f>
        <v/>
      </c>
      <c r="B19" s="42">
        <f t="shared" si="0"/>
        <v>0</v>
      </c>
      <c r="C19" s="44" t="str">
        <f t="shared" si="4"/>
        <v/>
      </c>
      <c r="D19" s="66" t="str">
        <f>IF('Tournament Details'!A1&gt;=1,IF('Tournament Details'!C23&lt;=LARGE('Round 1'!$C:$C,1),VLOOKUP(SMALL('Round 1'!$C:$C,17),'Round 1'!$C:$D,2,FALSE),""),"")</f>
        <v/>
      </c>
      <c r="E19" s="44" t="str">
        <f>IF(D19="","",B19+VLOOKUP(D19,'Round 1'!$D:$E,2,FALSE))</f>
        <v/>
      </c>
      <c r="F19" s="44" t="str">
        <f>IF(D19="","",(LARGE('Tournament Details'!$C:$C,1)+1-D19)+E19)</f>
        <v/>
      </c>
      <c r="G19" s="23" t="str">
        <f>D20</f>
        <v/>
      </c>
      <c r="H19" s="25" t="str">
        <f>IF(D19="","",IF(VLOOKUP(D19,'Tournament Details'!$C:$G,5,FALSE)="",D19,VLOOKUP(D19,'Tournament Details'!$C:$G,5,FALSE)))</f>
        <v/>
      </c>
      <c r="I19" s="7" t="str">
        <f>IF(D19=0,"",IF(VLOOKUP(D19,'Tournament Details'!$C:$E,3,FALSE)&gt;0,VLOOKUP(D19,'Tournament Details'!$C:$E,3,FALSE),""))</f>
        <v/>
      </c>
      <c r="J19" s="123"/>
      <c r="K19" s="123"/>
      <c r="L19" s="23"/>
      <c r="M19" s="23"/>
      <c r="N19" s="23"/>
      <c r="O19" s="23"/>
      <c r="P19" s="186">
        <v>0</v>
      </c>
      <c r="Q19" s="183">
        <f t="shared" si="1"/>
        <v>0</v>
      </c>
      <c r="R19" s="135" t="str">
        <f t="shared" si="2"/>
        <v/>
      </c>
      <c r="S19" s="135" t="str">
        <f>IF(Q19="","",IF(Q19+Q20&lt;&gt;20,IF(Q19+Q20&lt;&gt;0,"!",""),""))</f>
        <v/>
      </c>
      <c r="T19" s="21" t="str">
        <f t="shared" si="3"/>
        <v/>
      </c>
      <c r="U19" s="132">
        <f>IF(D19="",0,VLOOKUP(D19,'Tournament Details'!$C:$X,22,FALSE))</f>
        <v>0</v>
      </c>
      <c r="V19" s="132">
        <f>IF(D19="",0,VLOOKUP(D19,'Tournament Details'!$C:$Y,23,FALSE))</f>
        <v>0</v>
      </c>
      <c r="W19" s="132">
        <f>IF(D19="",0,VLOOKUP(D19,'Tournament Details'!$C:$Z,24,FALSE))</f>
        <v>0</v>
      </c>
      <c r="X19" s="132">
        <f>IF(D19="",0,VLOOKUP(D19,'Tournament Details'!$C:$AA,25,FALSE))</f>
        <v>0</v>
      </c>
      <c r="Y19" s="40" t="str">
        <f>IF(D19="","",IF(COUNTIF(D:D,D19)&gt;1,"DUPLICATE PLAYER",IF(D20="","NO OPPONENT",IF(D20=U19,"REPEAT MATCHUP",IF(H19=H20,"SAME TEAM","")))))</f>
        <v/>
      </c>
      <c r="Z19" s="40"/>
      <c r="AA19" t="str">
        <f>IF(Y19="NO OPPONENT","",IF(Y19&lt;&gt;"",CONCATENATE("Previous Matchup Player #: ",VLOOKUP(D19,'Tournament Details'!$C:$X,22,FALSE)),""))</f>
        <v/>
      </c>
    </row>
    <row r="20" spans="1:27" ht="15" customHeight="1" thickBot="1" x14ac:dyDescent="0.35">
      <c r="A20" s="224"/>
      <c r="B20" s="43">
        <f t="shared" si="0"/>
        <v>0</v>
      </c>
      <c r="C20" s="44" t="str">
        <f t="shared" si="4"/>
        <v/>
      </c>
      <c r="D20" s="74" t="str">
        <f>IF('Tournament Details'!A1&gt;=1,IF('Tournament Details'!C24&lt;=LARGE('Round 1'!$C:$C,1),VLOOKUP(SMALL('Round 1'!$C:$C,18),'Round 1'!$C:$D,2,FALSE),""),"")</f>
        <v/>
      </c>
      <c r="E20" s="44" t="str">
        <f>IF(D20="","",B20+VLOOKUP(D20,'Round 1'!$D:$E,2,FALSE))</f>
        <v/>
      </c>
      <c r="F20" s="44" t="str">
        <f>IF(D20="","",(LARGE('Tournament Details'!$C:$C,1)+1-D20)+E20)</f>
        <v/>
      </c>
      <c r="G20" s="24" t="str">
        <f>D19</f>
        <v/>
      </c>
      <c r="H20" s="26" t="str">
        <f>IF(D20="","",IF(VLOOKUP(D20,'Tournament Details'!$C:$G,5,FALSE)="",D20,VLOOKUP(D20,'Tournament Details'!$C:$G,5,FALSE)))</f>
        <v/>
      </c>
      <c r="I20" s="12" t="str">
        <f>IF(D20=0,"",IF(VLOOKUP(D20,'Tournament Details'!$C:$E,3,FALSE)&gt;0,VLOOKUP(D20,'Tournament Details'!$C:$E,3,FALSE),""))</f>
        <v/>
      </c>
      <c r="J20" s="124"/>
      <c r="K20" s="124"/>
      <c r="L20" s="23"/>
      <c r="M20" s="24"/>
      <c r="N20" s="24"/>
      <c r="O20" s="24"/>
      <c r="P20" s="187">
        <v>0</v>
      </c>
      <c r="Q20" s="183">
        <f t="shared" si="1"/>
        <v>0</v>
      </c>
      <c r="R20" s="135" t="str">
        <f t="shared" si="2"/>
        <v/>
      </c>
      <c r="S20" s="135" t="str">
        <f>IF(Q20="","",IF(Q19+Q20&lt;&gt;20,IF(Q19+Q20&lt;&gt;0,"!",""),""))</f>
        <v/>
      </c>
      <c r="T20" s="21" t="str">
        <f t="shared" si="3"/>
        <v/>
      </c>
      <c r="U20" s="132">
        <f>IF(D20="",0,VLOOKUP(D20,'Tournament Details'!$C:$X,22,FALSE))</f>
        <v>0</v>
      </c>
      <c r="V20" s="132">
        <f>IF(D20="",0,VLOOKUP(D20,'Tournament Details'!$C:$Y,23,FALSE))</f>
        <v>0</v>
      </c>
      <c r="W20" s="132">
        <f>IF(D20="",0,VLOOKUP(D20,'Tournament Details'!$C:$Z,24,FALSE))</f>
        <v>0</v>
      </c>
      <c r="X20" s="132">
        <f>IF(D20="",0,VLOOKUP(D20,'Tournament Details'!$C:$AA,25,FALSE))</f>
        <v>0</v>
      </c>
      <c r="Y20" s="40" t="str">
        <f>IF(D20="","",IF(COUNTIF(D:D,D20)&gt;1,"DUPLICATE PLAYER",IF(D19="","NO OPPONENT",IF(D19=U20,"REPEAT MATCHUP",IF(H20=H19,"SAME TEAM","")))))</f>
        <v/>
      </c>
      <c r="Z20" s="40"/>
      <c r="AA20" t="str">
        <f>IF(Y20="NO OPPONENT","",IF(Y20&lt;&gt;"",CONCATENATE("Previous Matchup Player #: ",VLOOKUP(D20,'Tournament Details'!$C:$X,22,FALSE)),""))</f>
        <v/>
      </c>
    </row>
    <row r="21" spans="1:27" ht="15" customHeight="1" thickBot="1" x14ac:dyDescent="0.35">
      <c r="A21" s="224" t="str">
        <f>IF('Tournament Details'!A1&gt;=1,IF(LARGE('Tournament Details'!C7:C86,1)&gt;=20,10,""),"")</f>
        <v/>
      </c>
      <c r="B21" s="42">
        <f t="shared" si="0"/>
        <v>0</v>
      </c>
      <c r="C21" s="44" t="str">
        <f t="shared" si="4"/>
        <v/>
      </c>
      <c r="D21" s="66" t="str">
        <f>IF('Tournament Details'!A1&gt;=1,IF('Tournament Details'!C25&lt;=LARGE('Round 1'!$C:$C,1),VLOOKUP(SMALL('Round 1'!$C:$C,19),'Round 1'!$C:$D,2,FALSE),""),"")</f>
        <v/>
      </c>
      <c r="E21" s="44" t="str">
        <f>IF(D21="","",B21+VLOOKUP(D21,'Round 1'!$D:$E,2,FALSE))</f>
        <v/>
      </c>
      <c r="F21" s="44" t="str">
        <f>IF(D21="","",(LARGE('Tournament Details'!$C:$C,1)+1-D21)+E21)</f>
        <v/>
      </c>
      <c r="G21" s="23" t="str">
        <f>D22</f>
        <v/>
      </c>
      <c r="H21" s="25" t="str">
        <f>IF(D21="","",IF(VLOOKUP(D21,'Tournament Details'!$C:$G,5,FALSE)="",D21,VLOOKUP(D21,'Tournament Details'!$C:$G,5,FALSE)))</f>
        <v/>
      </c>
      <c r="I21" s="7" t="str">
        <f>IF(D21=0,"",IF(VLOOKUP(D21,'Tournament Details'!$C:$E,3,FALSE)&gt;0,VLOOKUP(D21,'Tournament Details'!$C:$E,3,FALSE),""))</f>
        <v/>
      </c>
      <c r="J21" s="123"/>
      <c r="K21" s="123"/>
      <c r="L21" s="23"/>
      <c r="M21" s="23"/>
      <c r="N21" s="23"/>
      <c r="O21" s="23"/>
      <c r="P21" s="186">
        <v>0</v>
      </c>
      <c r="Q21" s="183">
        <f t="shared" si="1"/>
        <v>0</v>
      </c>
      <c r="R21" s="135" t="str">
        <f t="shared" si="2"/>
        <v/>
      </c>
      <c r="S21" s="135" t="str">
        <f>IF(Q21="","",IF(Q21+Q22&lt;&gt;20,IF(Q21+Q22&lt;&gt;0,"!",""),""))</f>
        <v/>
      </c>
      <c r="T21" s="21" t="str">
        <f t="shared" si="3"/>
        <v/>
      </c>
      <c r="U21" s="132">
        <f>IF(D21="",0,VLOOKUP(D21,'Tournament Details'!$C:$X,22,FALSE))</f>
        <v>0</v>
      </c>
      <c r="V21" s="132">
        <f>IF(D21="",0,VLOOKUP(D21,'Tournament Details'!$C:$Y,23,FALSE))</f>
        <v>0</v>
      </c>
      <c r="W21" s="132">
        <f>IF(D21="",0,VLOOKUP(D21,'Tournament Details'!$C:$Z,24,FALSE))</f>
        <v>0</v>
      </c>
      <c r="X21" s="132">
        <f>IF(D21="",0,VLOOKUP(D21,'Tournament Details'!$C:$AA,25,FALSE))</f>
        <v>0</v>
      </c>
      <c r="Y21" s="40" t="str">
        <f>IF(D21="","",IF(COUNTIF(D:D,D21)&gt;1,"DUPLICATE PLAYER",IF(D22="","NO OPPONENT",IF(D22=U21,"REPEAT MATCHUP",IF(H21=H22,"SAME TEAM","")))))</f>
        <v/>
      </c>
      <c r="Z21" s="40"/>
      <c r="AA21" t="str">
        <f>IF(Y21="NO OPPONENT","",IF(Y21&lt;&gt;"",CONCATENATE("Previous Matchup Player #: ",VLOOKUP(D21,'Tournament Details'!$C:$X,22,FALSE)),""))</f>
        <v/>
      </c>
    </row>
    <row r="22" spans="1:27" ht="15" customHeight="1" thickBot="1" x14ac:dyDescent="0.35">
      <c r="A22" s="224"/>
      <c r="B22" s="43">
        <f t="shared" si="0"/>
        <v>0</v>
      </c>
      <c r="C22" s="44" t="str">
        <f t="shared" si="4"/>
        <v/>
      </c>
      <c r="D22" s="74" t="str">
        <f>IF('Tournament Details'!A1&gt;=1,IF('Tournament Details'!C26&lt;=LARGE('Round 1'!$C:$C,1),VLOOKUP(SMALL('Round 1'!$C:$C,20),'Round 1'!$C:$D,2,FALSE),""),"")</f>
        <v/>
      </c>
      <c r="E22" s="44" t="str">
        <f>IF(D22="","",B22+VLOOKUP(D22,'Round 1'!$D:$E,2,FALSE))</f>
        <v/>
      </c>
      <c r="F22" s="44" t="str">
        <f>IF(D22="","",(LARGE('Tournament Details'!$C:$C,1)+1-D22)+E22)</f>
        <v/>
      </c>
      <c r="G22" s="24" t="str">
        <f>D21</f>
        <v/>
      </c>
      <c r="H22" s="26" t="str">
        <f>IF(D22="","",IF(VLOOKUP(D22,'Tournament Details'!$C:$G,5,FALSE)="",D22,VLOOKUP(D22,'Tournament Details'!$C:$G,5,FALSE)))</f>
        <v/>
      </c>
      <c r="I22" s="12" t="str">
        <f>IF(D22=0,"",IF(VLOOKUP(D22,'Tournament Details'!$C:$E,3,FALSE)&gt;0,VLOOKUP(D22,'Tournament Details'!$C:$E,3,FALSE),""))</f>
        <v/>
      </c>
      <c r="J22" s="124"/>
      <c r="K22" s="124"/>
      <c r="L22" s="23"/>
      <c r="M22" s="24"/>
      <c r="N22" s="24"/>
      <c r="O22" s="24"/>
      <c r="P22" s="187">
        <v>0</v>
      </c>
      <c r="Q22" s="183">
        <f t="shared" si="1"/>
        <v>0</v>
      </c>
      <c r="R22" s="135" t="str">
        <f t="shared" si="2"/>
        <v/>
      </c>
      <c r="S22" s="135" t="str">
        <f>IF(Q22="","",IF(Q21+Q22&lt;&gt;20,IF(Q21+Q22&lt;&gt;0,"!",""),""))</f>
        <v/>
      </c>
      <c r="T22" s="21" t="str">
        <f t="shared" si="3"/>
        <v/>
      </c>
      <c r="U22" s="132">
        <f>IF(D22="",0,VLOOKUP(D22,'Tournament Details'!$C:$X,22,FALSE))</f>
        <v>0</v>
      </c>
      <c r="V22" s="132">
        <f>IF(D22="",0,VLOOKUP(D22,'Tournament Details'!$C:$Y,23,FALSE))</f>
        <v>0</v>
      </c>
      <c r="W22" s="132">
        <f>IF(D22="",0,VLOOKUP(D22,'Tournament Details'!$C:$Z,24,FALSE))</f>
        <v>0</v>
      </c>
      <c r="X22" s="132">
        <f>IF(D22="",0,VLOOKUP(D22,'Tournament Details'!$C:$AA,25,FALSE))</f>
        <v>0</v>
      </c>
      <c r="Y22" s="40" t="str">
        <f>IF(D22="","",IF(COUNTIF(D:D,D22)&gt;1,"DUPLICATE PLAYER",IF(D21="","NO OPPONENT",IF(D21=U22,"REPEAT MATCHUP",IF(H22=H21,"SAME TEAM","")))))</f>
        <v/>
      </c>
      <c r="Z22" s="40"/>
      <c r="AA22" t="str">
        <f>IF(Y22="NO OPPONENT","",IF(Y22&lt;&gt;"",CONCATENATE("Previous Matchup Player #: ",VLOOKUP(D22,'Tournament Details'!$C:$X,22,FALSE)),""))</f>
        <v/>
      </c>
    </row>
    <row r="23" spans="1:27" ht="15" customHeight="1" thickBot="1" x14ac:dyDescent="0.35">
      <c r="A23" s="224" t="str">
        <f>IF('Tournament Details'!A1&gt;=1,IF(LARGE('Tournament Details'!C7:C86,1)&gt;=22,11,""),"")</f>
        <v/>
      </c>
      <c r="B23" s="42">
        <f t="shared" si="0"/>
        <v>0</v>
      </c>
      <c r="C23" s="44" t="str">
        <f t="shared" si="4"/>
        <v/>
      </c>
      <c r="D23" s="66" t="str">
        <f>IF('Tournament Details'!A1&gt;=1,IF('Tournament Details'!C27&lt;=LARGE('Round 1'!$C:$C,1),VLOOKUP(SMALL('Round 1'!$C:$C,21),'Round 1'!$C:$D,2,FALSE),""),"")</f>
        <v/>
      </c>
      <c r="E23" s="44" t="str">
        <f>IF(D23="","",B23+VLOOKUP(D23,'Round 1'!$D:$E,2,FALSE))</f>
        <v/>
      </c>
      <c r="F23" s="44" t="str">
        <f>IF(D23="","",(LARGE('Tournament Details'!$C:$C,1)+1-D23)+E23)</f>
        <v/>
      </c>
      <c r="G23" s="23" t="str">
        <f>D24</f>
        <v/>
      </c>
      <c r="H23" s="25" t="str">
        <f>IF(D23="","",IF(VLOOKUP(D23,'Tournament Details'!$C:$G,5,FALSE)="",D23,VLOOKUP(D23,'Tournament Details'!$C:$G,5,FALSE)))</f>
        <v/>
      </c>
      <c r="I23" s="7" t="str">
        <f>IF(D23=0,"",IF(VLOOKUP(D23,'Tournament Details'!$C:$E,3,FALSE)&gt;0,VLOOKUP(D23,'Tournament Details'!$C:$E,3,FALSE),""))</f>
        <v/>
      </c>
      <c r="J23" s="123"/>
      <c r="K23" s="123"/>
      <c r="L23" s="23"/>
      <c r="M23" s="23"/>
      <c r="N23" s="23"/>
      <c r="O23" s="23"/>
      <c r="P23" s="186">
        <v>0</v>
      </c>
      <c r="Q23" s="183">
        <f t="shared" si="1"/>
        <v>0</v>
      </c>
      <c r="R23" s="135" t="str">
        <f t="shared" si="2"/>
        <v/>
      </c>
      <c r="S23" s="135" t="str">
        <f>IF(Q23="","",IF(Q23+Q24&lt;&gt;20,IF(Q23+Q24&lt;&gt;0,"!",""),""))</f>
        <v/>
      </c>
      <c r="T23" s="21" t="str">
        <f t="shared" si="3"/>
        <v/>
      </c>
      <c r="U23" s="132">
        <f>IF(D23="",0,VLOOKUP(D23,'Tournament Details'!$C:$X,22,FALSE))</f>
        <v>0</v>
      </c>
      <c r="V23" s="132">
        <f>IF(D23="",0,VLOOKUP(D23,'Tournament Details'!$C:$Y,23,FALSE))</f>
        <v>0</v>
      </c>
      <c r="W23" s="132">
        <f>IF(D23="",0,VLOOKUP(D23,'Tournament Details'!$C:$Z,24,FALSE))</f>
        <v>0</v>
      </c>
      <c r="X23" s="132">
        <f>IF(D23="",0,VLOOKUP(D23,'Tournament Details'!$C:$AA,25,FALSE))</f>
        <v>0</v>
      </c>
      <c r="Y23" s="40" t="str">
        <f>IF(D23="","",IF(COUNTIF(D:D,D23)&gt;1,"DUPLICATE PLAYER",IF(D24="","NO OPPONENT",IF(D24=U23,"REPEAT MATCHUP",IF(H23=H24,"SAME TEAM","")))))</f>
        <v/>
      </c>
      <c r="Z23" s="40"/>
      <c r="AA23" t="str">
        <f>IF(Y23="NO OPPONENT","",IF(Y23&lt;&gt;"",CONCATENATE("Previous Matchup Player #: ",VLOOKUP(D23,'Tournament Details'!$C:$X,22,FALSE)),""))</f>
        <v/>
      </c>
    </row>
    <row r="24" spans="1:27" ht="15" customHeight="1" thickBot="1" x14ac:dyDescent="0.35">
      <c r="A24" s="224"/>
      <c r="B24" s="43">
        <f t="shared" si="0"/>
        <v>0</v>
      </c>
      <c r="C24" s="44" t="str">
        <f t="shared" si="4"/>
        <v/>
      </c>
      <c r="D24" s="74" t="str">
        <f>IF('Tournament Details'!A1&gt;=1,IF('Tournament Details'!C28&lt;=LARGE('Round 1'!$C:$C,1),VLOOKUP(SMALL('Round 1'!$C:$C,22),'Round 1'!$C:$D,2,FALSE),""),"")</f>
        <v/>
      </c>
      <c r="E24" s="44" t="str">
        <f>IF(D24="","",B24+VLOOKUP(D24,'Round 1'!$D:$E,2,FALSE))</f>
        <v/>
      </c>
      <c r="F24" s="44" t="str">
        <f>IF(D24="","",(LARGE('Tournament Details'!$C:$C,1)+1-D24)+E24)</f>
        <v/>
      </c>
      <c r="G24" s="24" t="str">
        <f>D23</f>
        <v/>
      </c>
      <c r="H24" s="26" t="str">
        <f>IF(D24="","",IF(VLOOKUP(D24,'Tournament Details'!$C:$G,5,FALSE)="",D24,VLOOKUP(D24,'Tournament Details'!$C:$G,5,FALSE)))</f>
        <v/>
      </c>
      <c r="I24" s="12" t="str">
        <f>IF(D24=0,"",IF(VLOOKUP(D24,'Tournament Details'!$C:$E,3,FALSE)&gt;0,VLOOKUP(D24,'Tournament Details'!$C:$E,3,FALSE),""))</f>
        <v/>
      </c>
      <c r="J24" s="124"/>
      <c r="K24" s="124"/>
      <c r="L24" s="23"/>
      <c r="M24" s="24"/>
      <c r="N24" s="24"/>
      <c r="O24" s="24"/>
      <c r="P24" s="187">
        <v>0</v>
      </c>
      <c r="Q24" s="183">
        <f t="shared" si="1"/>
        <v>0</v>
      </c>
      <c r="R24" s="135" t="str">
        <f t="shared" si="2"/>
        <v/>
      </c>
      <c r="S24" s="135" t="str">
        <f>IF(Q24="","",IF(Q23+Q24&lt;&gt;20,IF(Q23+Q24&lt;&gt;0,"!",""),""))</f>
        <v/>
      </c>
      <c r="T24" s="21" t="str">
        <f t="shared" si="3"/>
        <v/>
      </c>
      <c r="U24" s="132">
        <f>IF(D24="",0,VLOOKUP(D24,'Tournament Details'!$C:$X,22,FALSE))</f>
        <v>0</v>
      </c>
      <c r="V24" s="132">
        <f>IF(D24="",0,VLOOKUP(D24,'Tournament Details'!$C:$Y,23,FALSE))</f>
        <v>0</v>
      </c>
      <c r="W24" s="132">
        <f>IF(D24="",0,VLOOKUP(D24,'Tournament Details'!$C:$Z,24,FALSE))</f>
        <v>0</v>
      </c>
      <c r="X24" s="132">
        <f>IF(D24="",0,VLOOKUP(D24,'Tournament Details'!$C:$AA,25,FALSE))</f>
        <v>0</v>
      </c>
      <c r="Y24" s="40" t="str">
        <f>IF(D24="","",IF(COUNTIF(D:D,D24)&gt;1,"DUPLICATE PLAYER",IF(D23="","NO OPPONENT",IF(D23=U24,"REPEAT MATCHUP",IF(H24=H23,"SAME TEAM","")))))</f>
        <v/>
      </c>
      <c r="Z24" s="40"/>
      <c r="AA24" t="str">
        <f>IF(Y24="NO OPPONENT","",IF(Y24&lt;&gt;"",CONCATENATE("Previous Matchup Player #: ",VLOOKUP(D24,'Tournament Details'!$C:$X,22,FALSE)),""))</f>
        <v/>
      </c>
    </row>
    <row r="25" spans="1:27" ht="15" customHeight="1" thickBot="1" x14ac:dyDescent="0.35">
      <c r="A25" s="224" t="str">
        <f>IF('Tournament Details'!A1&gt;=1,IF(LARGE('Tournament Details'!C7:C86,1)&gt;=24,12,""),"")</f>
        <v/>
      </c>
      <c r="B25" s="42">
        <f t="shared" si="0"/>
        <v>0</v>
      </c>
      <c r="C25" s="44" t="str">
        <f t="shared" si="4"/>
        <v/>
      </c>
      <c r="D25" s="66" t="str">
        <f>IF('Tournament Details'!A1&gt;=1,IF('Tournament Details'!C29&lt;=LARGE('Round 1'!$C:$C,1),VLOOKUP(SMALL('Round 1'!$C:$C,23),'Round 1'!$C:$D,2,FALSE),""),"")</f>
        <v/>
      </c>
      <c r="E25" s="44" t="str">
        <f>IF(D25="","",B25+VLOOKUP(D25,'Round 1'!$D:$E,2,FALSE))</f>
        <v/>
      </c>
      <c r="F25" s="44" t="str">
        <f>IF(D25="","",(LARGE('Tournament Details'!$C:$C,1)+1-D25)+E25)</f>
        <v/>
      </c>
      <c r="G25" s="23" t="str">
        <f>D26</f>
        <v/>
      </c>
      <c r="H25" s="25" t="str">
        <f>IF(D25="","",IF(VLOOKUP(D25,'Tournament Details'!$C:$G,5,FALSE)="",D25,VLOOKUP(D25,'Tournament Details'!$C:$G,5,FALSE)))</f>
        <v/>
      </c>
      <c r="I25" s="7" t="str">
        <f>IF(D25=0,"",IF(VLOOKUP(D25,'Tournament Details'!$C:$E,3,FALSE)&gt;0,VLOOKUP(D25,'Tournament Details'!$C:$E,3,FALSE),""))</f>
        <v/>
      </c>
      <c r="J25" s="123"/>
      <c r="K25" s="123"/>
      <c r="L25" s="23"/>
      <c r="M25" s="23"/>
      <c r="N25" s="23"/>
      <c r="O25" s="23"/>
      <c r="P25" s="186">
        <v>0</v>
      </c>
      <c r="Q25" s="183">
        <f t="shared" si="1"/>
        <v>0</v>
      </c>
      <c r="R25" s="135" t="str">
        <f t="shared" si="2"/>
        <v/>
      </c>
      <c r="S25" s="135" t="str">
        <f>IF(Q25="","",IF(Q25+Q26&lt;&gt;20,IF(Q25+Q26&lt;&gt;0,"!",""),""))</f>
        <v/>
      </c>
      <c r="T25" s="21" t="str">
        <f t="shared" si="3"/>
        <v/>
      </c>
      <c r="U25" s="132">
        <f>IF(D25="",0,VLOOKUP(D25,'Tournament Details'!$C:$X,22,FALSE))</f>
        <v>0</v>
      </c>
      <c r="V25" s="132">
        <f>IF(D25="",0,VLOOKUP(D25,'Tournament Details'!$C:$Y,23,FALSE))</f>
        <v>0</v>
      </c>
      <c r="W25" s="132">
        <f>IF(D25="",0,VLOOKUP(D25,'Tournament Details'!$C:$Z,24,FALSE))</f>
        <v>0</v>
      </c>
      <c r="X25" s="132">
        <f>IF(D25="",0,VLOOKUP(D25,'Tournament Details'!$C:$AA,25,FALSE))</f>
        <v>0</v>
      </c>
      <c r="Y25" s="40" t="str">
        <f>IF(D25="","",IF(COUNTIF(D:D,D25)&gt;1,"DUPLICATE PLAYER",IF(D26="","NO OPPONENT",IF(D26=U25,"REPEAT MATCHUP",IF(H25=H26,"SAME TEAM","")))))</f>
        <v/>
      </c>
      <c r="Z25" s="40"/>
      <c r="AA25" t="str">
        <f>IF(Y25="NO OPPONENT","",IF(Y25&lt;&gt;"",CONCATENATE("Previous Matchup Player #: ",VLOOKUP(D25,'Tournament Details'!$C:$X,22,FALSE)),""))</f>
        <v/>
      </c>
    </row>
    <row r="26" spans="1:27" ht="15" customHeight="1" thickBot="1" x14ac:dyDescent="0.35">
      <c r="A26" s="224"/>
      <c r="B26" s="43">
        <f t="shared" si="0"/>
        <v>0</v>
      </c>
      <c r="C26" s="44" t="str">
        <f t="shared" si="4"/>
        <v/>
      </c>
      <c r="D26" s="74" t="str">
        <f>IF('Tournament Details'!A1&gt;=1,IF('Tournament Details'!C30&lt;=LARGE('Round 1'!$C:$C,1),VLOOKUP(SMALL('Round 1'!$C:$C,24),'Round 1'!$C:$D,2,FALSE),""),"")</f>
        <v/>
      </c>
      <c r="E26" s="44" t="str">
        <f>IF(D26="","",B26+VLOOKUP(D26,'Round 1'!$D:$E,2,FALSE))</f>
        <v/>
      </c>
      <c r="F26" s="44" t="str">
        <f>IF(D26="","",(LARGE('Tournament Details'!$C:$C,1)+1-D26)+E26)</f>
        <v/>
      </c>
      <c r="G26" s="24" t="str">
        <f>D25</f>
        <v/>
      </c>
      <c r="H26" s="26" t="str">
        <f>IF(D26="","",IF(VLOOKUP(D26,'Tournament Details'!$C:$G,5,FALSE)="",D26,VLOOKUP(D26,'Tournament Details'!$C:$G,5,FALSE)))</f>
        <v/>
      </c>
      <c r="I26" s="12" t="str">
        <f>IF(D26=0,"",IF(VLOOKUP(D26,'Tournament Details'!$C:$E,3,FALSE)&gt;0,VLOOKUP(D26,'Tournament Details'!$C:$E,3,FALSE),""))</f>
        <v/>
      </c>
      <c r="J26" s="124"/>
      <c r="K26" s="124"/>
      <c r="L26" s="23"/>
      <c r="M26" s="24"/>
      <c r="N26" s="24"/>
      <c r="O26" s="24"/>
      <c r="P26" s="187">
        <v>0</v>
      </c>
      <c r="Q26" s="183">
        <f t="shared" si="1"/>
        <v>0</v>
      </c>
      <c r="R26" s="135" t="str">
        <f t="shared" si="2"/>
        <v/>
      </c>
      <c r="S26" s="135" t="str">
        <f>IF(Q26="","",IF(Q25+Q26&lt;&gt;20,IF(Q25+Q26&lt;&gt;0,"!",""),""))</f>
        <v/>
      </c>
      <c r="T26" s="21" t="str">
        <f t="shared" si="3"/>
        <v/>
      </c>
      <c r="U26" s="132">
        <f>IF(D26="",0,VLOOKUP(D26,'Tournament Details'!$C:$X,22,FALSE))</f>
        <v>0</v>
      </c>
      <c r="V26" s="132">
        <f>IF(D26="",0,VLOOKUP(D26,'Tournament Details'!$C:$Y,23,FALSE))</f>
        <v>0</v>
      </c>
      <c r="W26" s="132">
        <f>IF(D26="",0,VLOOKUP(D26,'Tournament Details'!$C:$Z,24,FALSE))</f>
        <v>0</v>
      </c>
      <c r="X26" s="132">
        <f>IF(D26="",0,VLOOKUP(D26,'Tournament Details'!$C:$AA,25,FALSE))</f>
        <v>0</v>
      </c>
      <c r="Y26" s="40" t="str">
        <f>IF(D26="","",IF(COUNTIF(D:D,D26)&gt;1,"DUPLICATE PLAYER",IF(D25="","NO OPPONENT",IF(D25=U26,"REPEAT MATCHUP",IF(H26=H25,"SAME TEAM","")))))</f>
        <v/>
      </c>
      <c r="Z26" s="40"/>
      <c r="AA26" t="str">
        <f>IF(Y26="NO OPPONENT","",IF(Y26&lt;&gt;"",CONCATENATE("Previous Matchup Player #: ",VLOOKUP(D26,'Tournament Details'!$C:$X,22,FALSE)),""))</f>
        <v/>
      </c>
    </row>
    <row r="27" spans="1:27" ht="15" customHeight="1" thickBot="1" x14ac:dyDescent="0.35">
      <c r="A27" s="224" t="str">
        <f>IF('Tournament Details'!A1&gt;=1,IF(LARGE('Tournament Details'!C7:C86,1)&gt;=26,13,""),"")</f>
        <v/>
      </c>
      <c r="B27" s="42">
        <f t="shared" si="0"/>
        <v>0</v>
      </c>
      <c r="C27" s="44" t="str">
        <f t="shared" si="4"/>
        <v/>
      </c>
      <c r="D27" s="66" t="str">
        <f>IF('Tournament Details'!A1&gt;=1,IF('Tournament Details'!C31&lt;=LARGE('Round 1'!$C:$C,1),VLOOKUP(SMALL('Round 1'!$C:$C,25),'Round 1'!$C:$D,2,FALSE),""),"")</f>
        <v/>
      </c>
      <c r="E27" s="44" t="str">
        <f>IF(D27="","",B27+VLOOKUP(D27,'Round 1'!$D:$E,2,FALSE))</f>
        <v/>
      </c>
      <c r="F27" s="44" t="str">
        <f>IF(D27="","",(LARGE('Tournament Details'!$C:$C,1)+1-D27)+E27)</f>
        <v/>
      </c>
      <c r="G27" s="23" t="str">
        <f>D28</f>
        <v/>
      </c>
      <c r="H27" s="25" t="str">
        <f>IF(D27="","",IF(VLOOKUP(D27,'Tournament Details'!$C:$G,5,FALSE)="",D27,VLOOKUP(D27,'Tournament Details'!$C:$G,5,FALSE)))</f>
        <v/>
      </c>
      <c r="I27" s="7" t="str">
        <f>IF(D27=0,"",IF(VLOOKUP(D27,'Tournament Details'!$C:$E,3,FALSE)&gt;0,VLOOKUP(D27,'Tournament Details'!$C:$E,3,FALSE),""))</f>
        <v/>
      </c>
      <c r="J27" s="123"/>
      <c r="K27" s="123"/>
      <c r="L27" s="23"/>
      <c r="M27" s="23"/>
      <c r="N27" s="23"/>
      <c r="O27" s="23"/>
      <c r="P27" s="186">
        <v>0</v>
      </c>
      <c r="Q27" s="183">
        <f t="shared" si="1"/>
        <v>0</v>
      </c>
      <c r="R27" s="135" t="str">
        <f t="shared" si="2"/>
        <v/>
      </c>
      <c r="S27" s="135" t="str">
        <f>IF(Q27="","",IF(Q27+Q28&lt;&gt;20,IF(Q27+Q28&lt;&gt;0,"!",""),""))</f>
        <v/>
      </c>
      <c r="T27" s="21" t="str">
        <f t="shared" si="3"/>
        <v/>
      </c>
      <c r="U27" s="132">
        <f>IF(D27="",0,VLOOKUP(D27,'Tournament Details'!$C:$X,22,FALSE))</f>
        <v>0</v>
      </c>
      <c r="V27" s="132">
        <f>IF(D27="",0,VLOOKUP(D27,'Tournament Details'!$C:$Y,23,FALSE))</f>
        <v>0</v>
      </c>
      <c r="W27" s="132">
        <f>IF(D27="",0,VLOOKUP(D27,'Tournament Details'!$C:$Z,24,FALSE))</f>
        <v>0</v>
      </c>
      <c r="X27" s="132">
        <f>IF(D27="",0,VLOOKUP(D27,'Tournament Details'!$C:$AA,25,FALSE))</f>
        <v>0</v>
      </c>
      <c r="Y27" s="40" t="str">
        <f>IF(D27="","",IF(COUNTIF(D:D,D27)&gt;1,"DUPLICATE PLAYER",IF(D28="","NO OPPONENT",IF(D28=U27,"REPEAT MATCHUP",IF(H27=H28,"SAME TEAM","")))))</f>
        <v/>
      </c>
      <c r="Z27" s="40"/>
      <c r="AA27" t="str">
        <f>IF(Y27="NO OPPONENT","",IF(Y27&lt;&gt;"",CONCATENATE("Previous Matchup Player #: ",VLOOKUP(D27,'Tournament Details'!$C:$X,22,FALSE)),""))</f>
        <v/>
      </c>
    </row>
    <row r="28" spans="1:27" ht="15" customHeight="1" thickBot="1" x14ac:dyDescent="0.35">
      <c r="A28" s="224"/>
      <c r="B28" s="43">
        <f t="shared" si="0"/>
        <v>0</v>
      </c>
      <c r="C28" s="44" t="str">
        <f t="shared" si="4"/>
        <v/>
      </c>
      <c r="D28" s="74" t="str">
        <f>IF('Tournament Details'!A1&gt;=1,IF('Tournament Details'!C32&lt;=LARGE('Round 1'!$C:$C,1),VLOOKUP(SMALL('Round 1'!$C:$C,26),'Round 1'!$C:$D,2,FALSE),""),"")</f>
        <v/>
      </c>
      <c r="E28" s="44" t="str">
        <f>IF(D28="","",B28+VLOOKUP(D28,'Round 1'!$D:$E,2,FALSE))</f>
        <v/>
      </c>
      <c r="F28" s="44" t="str">
        <f>IF(D28="","",(LARGE('Tournament Details'!$C:$C,1)+1-D28)+E28)</f>
        <v/>
      </c>
      <c r="G28" s="24" t="str">
        <f>D27</f>
        <v/>
      </c>
      <c r="H28" s="26" t="str">
        <f>IF(D28="","",IF(VLOOKUP(D28,'Tournament Details'!$C:$G,5,FALSE)="",D28,VLOOKUP(D28,'Tournament Details'!$C:$G,5,FALSE)))</f>
        <v/>
      </c>
      <c r="I28" s="12" t="str">
        <f>IF(D28=0,"",IF(VLOOKUP(D28,'Tournament Details'!$C:$E,3,FALSE)&gt;0,VLOOKUP(D28,'Tournament Details'!$C:$E,3,FALSE),""))</f>
        <v/>
      </c>
      <c r="J28" s="124"/>
      <c r="K28" s="124"/>
      <c r="L28" s="23"/>
      <c r="M28" s="24"/>
      <c r="N28" s="24"/>
      <c r="O28" s="24"/>
      <c r="P28" s="187">
        <v>0</v>
      </c>
      <c r="Q28" s="183">
        <f t="shared" si="1"/>
        <v>0</v>
      </c>
      <c r="R28" s="135" t="str">
        <f t="shared" si="2"/>
        <v/>
      </c>
      <c r="S28" s="135" t="str">
        <f>IF(Q28="","",IF(Q27+Q28&lt;&gt;20,IF(Q27+Q28&lt;&gt;0,"!",""),""))</f>
        <v/>
      </c>
      <c r="T28" s="21" t="str">
        <f t="shared" si="3"/>
        <v/>
      </c>
      <c r="U28" s="132">
        <f>IF(D28="",0,VLOOKUP(D28,'Tournament Details'!$C:$X,22,FALSE))</f>
        <v>0</v>
      </c>
      <c r="V28" s="132">
        <f>IF(D28="",0,VLOOKUP(D28,'Tournament Details'!$C:$Y,23,FALSE))</f>
        <v>0</v>
      </c>
      <c r="W28" s="132">
        <f>IF(D28="",0,VLOOKUP(D28,'Tournament Details'!$C:$Z,24,FALSE))</f>
        <v>0</v>
      </c>
      <c r="X28" s="132">
        <f>IF(D28="",0,VLOOKUP(D28,'Tournament Details'!$C:$AA,25,FALSE))</f>
        <v>0</v>
      </c>
      <c r="Y28" s="40" t="str">
        <f>IF(D28="","",IF(COUNTIF(D:D,D28)&gt;1,"DUPLICATE PLAYER",IF(D27="","NO OPPONENT",IF(D27=U28,"REPEAT MATCHUP",IF(H28=H27,"SAME TEAM","")))))</f>
        <v/>
      </c>
      <c r="Z28" s="40"/>
      <c r="AA28" t="str">
        <f>IF(Y28="NO OPPONENT","",IF(Y28&lt;&gt;"",CONCATENATE("Previous Matchup Player #: ",VLOOKUP(D28,'Tournament Details'!$C:$X,22,FALSE)),""))</f>
        <v/>
      </c>
    </row>
    <row r="29" spans="1:27" ht="15" customHeight="1" thickBot="1" x14ac:dyDescent="0.35">
      <c r="A29" s="224" t="str">
        <f>IF('Tournament Details'!A1&gt;=1,IF(LARGE('Tournament Details'!C7:C86,1)&gt;=28,14,""),"")</f>
        <v/>
      </c>
      <c r="B29" s="42">
        <f t="shared" si="0"/>
        <v>0</v>
      </c>
      <c r="C29" s="44" t="str">
        <f t="shared" si="4"/>
        <v/>
      </c>
      <c r="D29" s="66" t="str">
        <f>IF('Tournament Details'!A1&gt;=1,IF('Tournament Details'!C33&lt;=LARGE('Round 1'!$C:$C,1),VLOOKUP(SMALL('Round 1'!$C:$C,27),'Round 1'!$C:$D,2,FALSE),""),"")</f>
        <v/>
      </c>
      <c r="E29" s="44" t="str">
        <f>IF(D29="","",B29+VLOOKUP(D29,'Round 1'!$D:$E,2,FALSE))</f>
        <v/>
      </c>
      <c r="F29" s="44" t="str">
        <f>IF(D29="","",(LARGE('Tournament Details'!$C:$C,1)+1-D29)+E29)</f>
        <v/>
      </c>
      <c r="G29" s="23" t="str">
        <f>D30</f>
        <v/>
      </c>
      <c r="H29" s="25" t="str">
        <f>IF(D29="","",IF(VLOOKUP(D29,'Tournament Details'!$C:$G,5,FALSE)="",D29,VLOOKUP(D29,'Tournament Details'!$C:$G,5,FALSE)))</f>
        <v/>
      </c>
      <c r="I29" s="7" t="str">
        <f>IF(D29=0,"",IF(VLOOKUP(D29,'Tournament Details'!$C:$E,3,FALSE)&gt;0,VLOOKUP(D29,'Tournament Details'!$C:$E,3,FALSE),""))</f>
        <v/>
      </c>
      <c r="J29" s="123"/>
      <c r="K29" s="123"/>
      <c r="L29" s="23"/>
      <c r="M29" s="23"/>
      <c r="N29" s="23"/>
      <c r="O29" s="23"/>
      <c r="P29" s="186">
        <v>0</v>
      </c>
      <c r="Q29" s="183">
        <f t="shared" si="1"/>
        <v>0</v>
      </c>
      <c r="R29" s="135" t="str">
        <f t="shared" si="2"/>
        <v/>
      </c>
      <c r="S29" s="135" t="str">
        <f>IF(Q29="","",IF(Q29+Q30&lt;&gt;20,IF(Q29+Q30&lt;&gt;0,"!",""),""))</f>
        <v/>
      </c>
      <c r="T29" s="21" t="str">
        <f t="shared" si="3"/>
        <v/>
      </c>
      <c r="U29" s="132">
        <f>IF(D29="",0,VLOOKUP(D29,'Tournament Details'!$C:$X,22,FALSE))</f>
        <v>0</v>
      </c>
      <c r="V29" s="132">
        <f>IF(D29="",0,VLOOKUP(D29,'Tournament Details'!$C:$Y,23,FALSE))</f>
        <v>0</v>
      </c>
      <c r="W29" s="132">
        <f>IF(D29="",0,VLOOKUP(D29,'Tournament Details'!$C:$Z,24,FALSE))</f>
        <v>0</v>
      </c>
      <c r="X29" s="132">
        <f>IF(D29="",0,VLOOKUP(D29,'Tournament Details'!$C:$AA,25,FALSE))</f>
        <v>0</v>
      </c>
      <c r="Y29" s="40" t="str">
        <f>IF(D29="","",IF(COUNTIF(D:D,D29)&gt;1,"DUPLICATE PLAYER",IF(D30="","NO OPPONENT",IF(D30=U29,"REPEAT MATCHUP",IF(H29=H30,"SAME TEAM","")))))</f>
        <v/>
      </c>
      <c r="Z29" s="40"/>
      <c r="AA29" t="str">
        <f>IF(Y29="NO OPPONENT","",IF(Y29&lt;&gt;"",CONCATENATE("Previous Matchup Player #: ",VLOOKUP(D29,'Tournament Details'!$C:$X,22,FALSE)),""))</f>
        <v/>
      </c>
    </row>
    <row r="30" spans="1:27" ht="15" customHeight="1" thickBot="1" x14ac:dyDescent="0.35">
      <c r="A30" s="224"/>
      <c r="B30" s="43">
        <f t="shared" si="0"/>
        <v>0</v>
      </c>
      <c r="C30" s="44" t="str">
        <f t="shared" si="4"/>
        <v/>
      </c>
      <c r="D30" s="74" t="str">
        <f>IF('Tournament Details'!A1&gt;=1,IF('Tournament Details'!C34&lt;=LARGE('Round 1'!$C:$C,1),VLOOKUP(SMALL('Round 1'!$C:$C,28),'Round 1'!$C:$D,2,FALSE),""),"")</f>
        <v/>
      </c>
      <c r="E30" s="44" t="str">
        <f>IF(D30="","",B30+VLOOKUP(D30,'Round 1'!$D:$E,2,FALSE))</f>
        <v/>
      </c>
      <c r="F30" s="44" t="str">
        <f>IF(D30="","",(LARGE('Tournament Details'!$C:$C,1)+1-D30)+E30)</f>
        <v/>
      </c>
      <c r="G30" s="24" t="str">
        <f>D29</f>
        <v/>
      </c>
      <c r="H30" s="26" t="str">
        <f>IF(D30="","",IF(VLOOKUP(D30,'Tournament Details'!$C:$G,5,FALSE)="",D30,VLOOKUP(D30,'Tournament Details'!$C:$G,5,FALSE)))</f>
        <v/>
      </c>
      <c r="I30" s="12" t="str">
        <f>IF(D30=0,"",IF(VLOOKUP(D30,'Tournament Details'!$C:$E,3,FALSE)&gt;0,VLOOKUP(D30,'Tournament Details'!$C:$E,3,FALSE),""))</f>
        <v/>
      </c>
      <c r="J30" s="124"/>
      <c r="K30" s="124"/>
      <c r="L30" s="23"/>
      <c r="M30" s="24"/>
      <c r="N30" s="24"/>
      <c r="O30" s="24"/>
      <c r="P30" s="187">
        <v>0</v>
      </c>
      <c r="Q30" s="183">
        <f t="shared" si="1"/>
        <v>0</v>
      </c>
      <c r="R30" s="135" t="str">
        <f t="shared" si="2"/>
        <v/>
      </c>
      <c r="S30" s="135" t="str">
        <f>IF(Q30="","",IF(Q29+Q30&lt;&gt;20,IF(Q29+Q30&lt;&gt;0,"!",""),""))</f>
        <v/>
      </c>
      <c r="T30" s="21" t="str">
        <f t="shared" si="3"/>
        <v/>
      </c>
      <c r="U30" s="132">
        <f>IF(D30="",0,VLOOKUP(D30,'Tournament Details'!$C:$X,22,FALSE))</f>
        <v>0</v>
      </c>
      <c r="V30" s="132">
        <f>IF(D30="",0,VLOOKUP(D30,'Tournament Details'!$C:$Y,23,FALSE))</f>
        <v>0</v>
      </c>
      <c r="W30" s="132">
        <f>IF(D30="",0,VLOOKUP(D30,'Tournament Details'!$C:$Z,24,FALSE))</f>
        <v>0</v>
      </c>
      <c r="X30" s="132">
        <f>IF(D30="",0,VLOOKUP(D30,'Tournament Details'!$C:$AA,25,FALSE))</f>
        <v>0</v>
      </c>
      <c r="Y30" s="40" t="str">
        <f>IF(D30="","",IF(COUNTIF(D:D,D30)&gt;1,"DUPLICATE PLAYER",IF(D29="","NO OPPONENT",IF(D29=U30,"REPEAT MATCHUP",IF(H30=H29,"SAME TEAM","")))))</f>
        <v/>
      </c>
      <c r="Z30" s="40"/>
      <c r="AA30" t="str">
        <f>IF(Y30="NO OPPONENT","",IF(Y30&lt;&gt;"",CONCATENATE("Previous Matchup Player #: ",VLOOKUP(D30,'Tournament Details'!$C:$X,22,FALSE)),""))</f>
        <v/>
      </c>
    </row>
    <row r="31" spans="1:27" ht="15" customHeight="1" thickBot="1" x14ac:dyDescent="0.35">
      <c r="A31" s="224" t="str">
        <f>IF('Tournament Details'!A1&gt;=1,IF(LARGE('Tournament Details'!C7:C86,1)&gt;=30,15,""),"")</f>
        <v/>
      </c>
      <c r="B31" s="42">
        <f t="shared" si="0"/>
        <v>0</v>
      </c>
      <c r="C31" s="44" t="str">
        <f t="shared" si="4"/>
        <v/>
      </c>
      <c r="D31" s="66" t="str">
        <f>IF('Tournament Details'!A1&gt;=1,IF('Tournament Details'!C35&lt;=LARGE('Round 1'!$C:$C,1),VLOOKUP(SMALL('Round 1'!$C:$C,29),'Round 1'!$C:$D,2,FALSE),""),"")</f>
        <v/>
      </c>
      <c r="E31" s="44" t="str">
        <f>IF(D31="","",B31+VLOOKUP(D31,'Round 1'!$D:$E,2,FALSE))</f>
        <v/>
      </c>
      <c r="F31" s="44" t="str">
        <f>IF(D31="","",(LARGE('Tournament Details'!$C:$C,1)+1-D31)+E31)</f>
        <v/>
      </c>
      <c r="G31" s="23" t="str">
        <f>D32</f>
        <v/>
      </c>
      <c r="H31" s="25" t="str">
        <f>IF(D31="","",IF(VLOOKUP(D31,'Tournament Details'!$C:$G,5,FALSE)="",D31,VLOOKUP(D31,'Tournament Details'!$C:$G,5,FALSE)))</f>
        <v/>
      </c>
      <c r="I31" s="7" t="str">
        <f>IF(D31=0,"",IF(VLOOKUP(D31,'Tournament Details'!$C:$E,3,FALSE)&gt;0,VLOOKUP(D31,'Tournament Details'!$C:$E,3,FALSE),""))</f>
        <v/>
      </c>
      <c r="J31" s="123"/>
      <c r="K31" s="123"/>
      <c r="L31" s="23"/>
      <c r="M31" s="23"/>
      <c r="N31" s="23"/>
      <c r="O31" s="23"/>
      <c r="P31" s="186">
        <v>0</v>
      </c>
      <c r="Q31" s="183">
        <f t="shared" si="1"/>
        <v>0</v>
      </c>
      <c r="R31" s="135" t="str">
        <f t="shared" si="2"/>
        <v/>
      </c>
      <c r="S31" s="135" t="str">
        <f>IF(Q31="","",IF(Q31+Q32&lt;&gt;20,IF(Q31+Q32&lt;&gt;0,"!",""),""))</f>
        <v/>
      </c>
      <c r="T31" s="21" t="str">
        <f t="shared" si="3"/>
        <v/>
      </c>
      <c r="U31" s="132">
        <f>IF(D31="",0,VLOOKUP(D31,'Tournament Details'!$C:$X,22,FALSE))</f>
        <v>0</v>
      </c>
      <c r="V31" s="132">
        <f>IF(D31="",0,VLOOKUP(D31,'Tournament Details'!$C:$Y,23,FALSE))</f>
        <v>0</v>
      </c>
      <c r="W31" s="132">
        <f>IF(D31="",0,VLOOKUP(D31,'Tournament Details'!$C:$Z,24,FALSE))</f>
        <v>0</v>
      </c>
      <c r="X31" s="132">
        <f>IF(D31="",0,VLOOKUP(D31,'Tournament Details'!$C:$AA,25,FALSE))</f>
        <v>0</v>
      </c>
      <c r="Y31" s="40" t="str">
        <f>IF(D31="","",IF(COUNTIF(D:D,D31)&gt;1,"DUPLICATE PLAYER",IF(D32="","NO OPPONENT",IF(D32=U31,"REPEAT MATCHUP",IF(H31=H32,"SAME TEAM","")))))</f>
        <v/>
      </c>
      <c r="Z31" s="40"/>
      <c r="AA31" t="str">
        <f>IF(Y31="NO OPPONENT","",IF(Y31&lt;&gt;"",CONCATENATE("Previous Matchup Player #: ",VLOOKUP(D31,'Tournament Details'!$C:$X,22,FALSE)),""))</f>
        <v/>
      </c>
    </row>
    <row r="32" spans="1:27" ht="15" customHeight="1" thickBot="1" x14ac:dyDescent="0.35">
      <c r="A32" s="224"/>
      <c r="B32" s="43">
        <f t="shared" si="0"/>
        <v>0</v>
      </c>
      <c r="C32" s="44" t="str">
        <f t="shared" si="4"/>
        <v/>
      </c>
      <c r="D32" s="74" t="str">
        <f>IF('Tournament Details'!A1&gt;=1,IF('Tournament Details'!C36&lt;=LARGE('Round 1'!$C:$C,1),VLOOKUP(SMALL('Round 1'!$C:$C,30),'Round 1'!$C:$D,2,FALSE),""),"")</f>
        <v/>
      </c>
      <c r="E32" s="44" t="str">
        <f>IF(D32="","",B32+VLOOKUP(D32,'Round 1'!$D:$E,2,FALSE))</f>
        <v/>
      </c>
      <c r="F32" s="44" t="str">
        <f>IF(D32="","",(LARGE('Tournament Details'!$C:$C,1)+1-D32)+E32)</f>
        <v/>
      </c>
      <c r="G32" s="24" t="str">
        <f>D31</f>
        <v/>
      </c>
      <c r="H32" s="26" t="str">
        <f>IF(D32="","",IF(VLOOKUP(D32,'Tournament Details'!$C:$G,5,FALSE)="",D32,VLOOKUP(D32,'Tournament Details'!$C:$G,5,FALSE)))</f>
        <v/>
      </c>
      <c r="I32" s="12" t="str">
        <f>IF(D32=0,"",IF(VLOOKUP(D32,'Tournament Details'!$C:$E,3,FALSE)&gt;0,VLOOKUP(D32,'Tournament Details'!$C:$E,3,FALSE),""))</f>
        <v/>
      </c>
      <c r="J32" s="124"/>
      <c r="K32" s="124"/>
      <c r="L32" s="23"/>
      <c r="M32" s="24"/>
      <c r="N32" s="24"/>
      <c r="O32" s="24"/>
      <c r="P32" s="187">
        <v>0</v>
      </c>
      <c r="Q32" s="183">
        <f t="shared" si="1"/>
        <v>0</v>
      </c>
      <c r="R32" s="135" t="str">
        <f t="shared" si="2"/>
        <v/>
      </c>
      <c r="S32" s="135" t="str">
        <f>IF(Q32="","",IF(Q31+Q32&lt;&gt;20,IF(Q31+Q32&lt;&gt;0,"!",""),""))</f>
        <v/>
      </c>
      <c r="T32" s="21" t="str">
        <f t="shared" si="3"/>
        <v/>
      </c>
      <c r="U32" s="132">
        <f>IF(D32="",0,VLOOKUP(D32,'Tournament Details'!$C:$X,22,FALSE))</f>
        <v>0</v>
      </c>
      <c r="V32" s="132">
        <f>IF(D32="",0,VLOOKUP(D32,'Tournament Details'!$C:$Y,23,FALSE))</f>
        <v>0</v>
      </c>
      <c r="W32" s="132">
        <f>IF(D32="",0,VLOOKUP(D32,'Tournament Details'!$C:$Z,24,FALSE))</f>
        <v>0</v>
      </c>
      <c r="X32" s="132">
        <f>IF(D32="",0,VLOOKUP(D32,'Tournament Details'!$C:$AA,25,FALSE))</f>
        <v>0</v>
      </c>
      <c r="Y32" s="40" t="str">
        <f>IF(D32="","",IF(COUNTIF(D:D,D32)&gt;1,"DUPLICATE PLAYER",IF(D31="","NO OPPONENT",IF(D31=U32,"REPEAT MATCHUP",IF(H32=H31,"SAME TEAM","")))))</f>
        <v/>
      </c>
      <c r="Z32" s="40"/>
      <c r="AA32" t="str">
        <f>IF(Y32="NO OPPONENT","",IF(Y32&lt;&gt;"",CONCATENATE("Previous Matchup Player #: ",VLOOKUP(D32,'Tournament Details'!$C:$X,22,FALSE)),""))</f>
        <v/>
      </c>
    </row>
    <row r="33" spans="1:27" ht="15" customHeight="1" thickBot="1" x14ac:dyDescent="0.35">
      <c r="A33" s="224" t="str">
        <f>IF('Tournament Details'!A1&gt;=1,IF(LARGE('Tournament Details'!C7:C86,1)&gt;=32,16,""),"")</f>
        <v/>
      </c>
      <c r="B33" s="42">
        <f t="shared" si="0"/>
        <v>0</v>
      </c>
      <c r="C33" s="44" t="str">
        <f t="shared" si="4"/>
        <v/>
      </c>
      <c r="D33" s="66" t="str">
        <f>IF('Tournament Details'!A1&gt;=1,IF('Tournament Details'!C37&lt;=LARGE('Round 1'!$C:$C,1),VLOOKUP(SMALL('Round 1'!$C:$C,31),'Round 1'!$C:$D,2,FALSE),""),"")</f>
        <v/>
      </c>
      <c r="E33" s="44" t="str">
        <f>IF(D33="","",B33+VLOOKUP(D33,'Round 1'!$D:$E,2,FALSE))</f>
        <v/>
      </c>
      <c r="F33" s="44" t="str">
        <f>IF(D33="","",(LARGE('Tournament Details'!$C:$C,1)+1-D33)+E33)</f>
        <v/>
      </c>
      <c r="G33" s="23" t="str">
        <f>D34</f>
        <v/>
      </c>
      <c r="H33" s="25" t="str">
        <f>IF(D33="","",IF(VLOOKUP(D33,'Tournament Details'!$C:$G,5,FALSE)="",D33,VLOOKUP(D33,'Tournament Details'!$C:$G,5,FALSE)))</f>
        <v/>
      </c>
      <c r="I33" s="7" t="str">
        <f>IF(D33=0,"",IF(VLOOKUP(D33,'Tournament Details'!$C:$E,3,FALSE)&gt;0,VLOOKUP(D33,'Tournament Details'!$C:$E,3,FALSE),""))</f>
        <v/>
      </c>
      <c r="J33" s="123"/>
      <c r="K33" s="123"/>
      <c r="L33" s="23"/>
      <c r="M33" s="23"/>
      <c r="N33" s="23"/>
      <c r="O33" s="23"/>
      <c r="P33" s="186">
        <v>0</v>
      </c>
      <c r="Q33" s="183">
        <f t="shared" si="1"/>
        <v>0</v>
      </c>
      <c r="R33" s="135" t="str">
        <f t="shared" si="2"/>
        <v/>
      </c>
      <c r="S33" s="135" t="str">
        <f>IF(Q33="","",IF(Q33+Q34&lt;&gt;20,IF(Q33+Q34&lt;&gt;0,"!",""),""))</f>
        <v/>
      </c>
      <c r="T33" s="21" t="str">
        <f t="shared" si="3"/>
        <v/>
      </c>
      <c r="U33" s="132">
        <f>IF(D33="",0,VLOOKUP(D33,'Tournament Details'!$C:$X,22,FALSE))</f>
        <v>0</v>
      </c>
      <c r="V33" s="132">
        <f>IF(D33="",0,VLOOKUP(D33,'Tournament Details'!$C:$Y,23,FALSE))</f>
        <v>0</v>
      </c>
      <c r="W33" s="132">
        <f>IF(D33="",0,VLOOKUP(D33,'Tournament Details'!$C:$Z,24,FALSE))</f>
        <v>0</v>
      </c>
      <c r="X33" s="132">
        <f>IF(D33="",0,VLOOKUP(D33,'Tournament Details'!$C:$AA,25,FALSE))</f>
        <v>0</v>
      </c>
      <c r="Y33" s="40" t="str">
        <f>IF(D33="","",IF(COUNTIF(D:D,D33)&gt;1,"DUPLICATE PLAYER",IF(D34="","NO OPPONENT",IF(D34=U33,"REPEAT MATCHUP",IF(H33=H34,"SAME TEAM","")))))</f>
        <v/>
      </c>
      <c r="Z33" s="40"/>
      <c r="AA33" t="str">
        <f>IF(Y33="NO OPPONENT","",IF(Y33&lt;&gt;"",CONCATENATE("Previous Matchup Player #: ",VLOOKUP(D33,'Tournament Details'!$C:$X,22,FALSE)),""))</f>
        <v/>
      </c>
    </row>
    <row r="34" spans="1:27" ht="15" customHeight="1" thickBot="1" x14ac:dyDescent="0.35">
      <c r="A34" s="224"/>
      <c r="B34" s="43">
        <f t="shared" si="0"/>
        <v>0</v>
      </c>
      <c r="C34" s="44" t="str">
        <f t="shared" si="4"/>
        <v/>
      </c>
      <c r="D34" s="74" t="str">
        <f>IF('Tournament Details'!A1&gt;=1,IF('Tournament Details'!C38&lt;=LARGE('Round 1'!$C:$C,1),VLOOKUP(SMALL('Round 1'!$C:$C,32),'Round 1'!$C:$D,2,FALSE),""),"")</f>
        <v/>
      </c>
      <c r="E34" s="44" t="str">
        <f>IF(D34="","",B34+VLOOKUP(D34,'Round 1'!$D:$E,2,FALSE))</f>
        <v/>
      </c>
      <c r="F34" s="44" t="str">
        <f>IF(D34="","",(LARGE('Tournament Details'!$C:$C,1)+1-D34)+E34)</f>
        <v/>
      </c>
      <c r="G34" s="24" t="str">
        <f>D33</f>
        <v/>
      </c>
      <c r="H34" s="26" t="str">
        <f>IF(D34="","",IF(VLOOKUP(D34,'Tournament Details'!$C:$G,5,FALSE)="",D34,VLOOKUP(D34,'Tournament Details'!$C:$G,5,FALSE)))</f>
        <v/>
      </c>
      <c r="I34" s="12" t="str">
        <f>IF(D34=0,"",IF(VLOOKUP(D34,'Tournament Details'!$C:$E,3,FALSE)&gt;0,VLOOKUP(D34,'Tournament Details'!$C:$E,3,FALSE),""))</f>
        <v/>
      </c>
      <c r="J34" s="124"/>
      <c r="K34" s="124"/>
      <c r="L34" s="23"/>
      <c r="M34" s="24"/>
      <c r="N34" s="24"/>
      <c r="O34" s="24"/>
      <c r="P34" s="187">
        <v>0</v>
      </c>
      <c r="Q34" s="183">
        <f t="shared" si="1"/>
        <v>0</v>
      </c>
      <c r="R34" s="135" t="str">
        <f t="shared" si="2"/>
        <v/>
      </c>
      <c r="S34" s="135" t="str">
        <f>IF(Q34="","",IF(Q33+Q34&lt;&gt;20,IF(Q33+Q34&lt;&gt;0,"!",""),""))</f>
        <v/>
      </c>
      <c r="T34" s="21" t="str">
        <f t="shared" si="3"/>
        <v/>
      </c>
      <c r="U34" s="132">
        <f>IF(D34="",0,VLOOKUP(D34,'Tournament Details'!$C:$X,22,FALSE))</f>
        <v>0</v>
      </c>
      <c r="V34" s="132">
        <f>IF(D34="",0,VLOOKUP(D34,'Tournament Details'!$C:$Y,23,FALSE))</f>
        <v>0</v>
      </c>
      <c r="W34" s="132">
        <f>IF(D34="",0,VLOOKUP(D34,'Tournament Details'!$C:$Z,24,FALSE))</f>
        <v>0</v>
      </c>
      <c r="X34" s="132">
        <f>IF(D34="",0,VLOOKUP(D34,'Tournament Details'!$C:$AA,25,FALSE))</f>
        <v>0</v>
      </c>
      <c r="Y34" s="40" t="str">
        <f>IF(D34="","",IF(COUNTIF(D:D,D34)&gt;1,"DUPLICATE PLAYER",IF(D33="","NO OPPONENT",IF(D33=U34,"REPEAT MATCHUP",IF(H34=H33,"SAME TEAM","")))))</f>
        <v/>
      </c>
      <c r="Z34" s="40"/>
      <c r="AA34" t="str">
        <f>IF(Y34="NO OPPONENT","",IF(Y34&lt;&gt;"",CONCATENATE("Previous Matchup Player #: ",VLOOKUP(D34,'Tournament Details'!$C:$X,22,FALSE)),""))</f>
        <v/>
      </c>
    </row>
    <row r="35" spans="1:27" ht="15" customHeight="1" thickBot="1" x14ac:dyDescent="0.35">
      <c r="A35" s="224" t="str">
        <f>IF('Tournament Details'!A1&gt;=1,IF(LARGE('Tournament Details'!C7:C86,1)&gt;=34,17,""),"")</f>
        <v/>
      </c>
      <c r="B35" s="42">
        <f t="shared" ref="B35:B66" si="5">IF(Q35="","",(Q35*10000)+K35)</f>
        <v>0</v>
      </c>
      <c r="C35" s="44" t="str">
        <f t="shared" si="4"/>
        <v/>
      </c>
      <c r="D35" s="66" t="str">
        <f>IF('Tournament Details'!A1&gt;=1,IF('Tournament Details'!C39&lt;=LARGE('Round 1'!$C:$C,1),VLOOKUP(SMALL('Round 1'!$C:$C,33),'Round 1'!$C:$D,2,FALSE),""),"")</f>
        <v/>
      </c>
      <c r="E35" s="44" t="str">
        <f>IF(D35="","",B35+VLOOKUP(D35,'Round 1'!$D:$E,2,FALSE))</f>
        <v/>
      </c>
      <c r="F35" s="44" t="str">
        <f>IF(D35="","",(LARGE('Tournament Details'!$C:$C,1)+1-D35)+E35)</f>
        <v/>
      </c>
      <c r="G35" s="23" t="str">
        <f>D36</f>
        <v/>
      </c>
      <c r="H35" s="25" t="str">
        <f>IF(D35="","",IF(VLOOKUP(D35,'Tournament Details'!$C:$G,5,FALSE)="",D35,VLOOKUP(D35,'Tournament Details'!$C:$G,5,FALSE)))</f>
        <v/>
      </c>
      <c r="I35" s="7" t="str">
        <f>IF(D35=0,"",IF(VLOOKUP(D35,'Tournament Details'!$C:$E,3,FALSE)&gt;0,VLOOKUP(D35,'Tournament Details'!$C:$E,3,FALSE),""))</f>
        <v/>
      </c>
      <c r="J35" s="123"/>
      <c r="K35" s="123"/>
      <c r="L35" s="23"/>
      <c r="M35" s="23"/>
      <c r="N35" s="23"/>
      <c r="O35" s="23"/>
      <c r="P35" s="186">
        <v>0</v>
      </c>
      <c r="Q35" s="183">
        <f t="shared" ref="Q35:Q66" si="6">IF(P35="",0,P35)</f>
        <v>0</v>
      </c>
      <c r="R35" s="135" t="str">
        <f t="shared" ref="R35:R66" si="7">IF(J35="","",IF(J35&gt;16,"!",IF(J35&lt;4,"!","")))</f>
        <v/>
      </c>
      <c r="S35" s="135" t="str">
        <f>IF(Q35="","",IF(Q35+Q36&lt;&gt;20,IF(Q35+Q36&lt;&gt;0,"!",""),""))</f>
        <v/>
      </c>
      <c r="T35" s="21" t="str">
        <f t="shared" ref="T35:T66" si="8">IF(R35="!","!",IF(S35="!","!",""))</f>
        <v/>
      </c>
      <c r="U35" s="132">
        <f>IF(D35="",0,VLOOKUP(D35,'Tournament Details'!$C:$X,22,FALSE))</f>
        <v>0</v>
      </c>
      <c r="V35" s="132">
        <f>IF(D35="",0,VLOOKUP(D35,'Tournament Details'!$C:$Y,23,FALSE))</f>
        <v>0</v>
      </c>
      <c r="W35" s="132">
        <f>IF(D35="",0,VLOOKUP(D35,'Tournament Details'!$C:$Z,24,FALSE))</f>
        <v>0</v>
      </c>
      <c r="X35" s="132">
        <f>IF(D35="",0,VLOOKUP(D35,'Tournament Details'!$C:$AA,25,FALSE))</f>
        <v>0</v>
      </c>
      <c r="Y35" s="40" t="str">
        <f>IF(D35="","",IF(COUNTIF(D:D,D35)&gt;1,"DUPLICATE PLAYER",IF(D36="","NO OPPONENT",IF(D36=U35,"REPEAT MATCHUP",IF(H35=H36,"SAME TEAM","")))))</f>
        <v/>
      </c>
      <c r="Z35" s="40"/>
      <c r="AA35" t="str">
        <f>IF(Y35="NO OPPONENT","",IF(Y35&lt;&gt;"",CONCATENATE("Previous Matchup Player #: ",VLOOKUP(D35,'Tournament Details'!$C:$X,22,FALSE)),""))</f>
        <v/>
      </c>
    </row>
    <row r="36" spans="1:27" ht="15" customHeight="1" thickBot="1" x14ac:dyDescent="0.35">
      <c r="A36" s="224"/>
      <c r="B36" s="43">
        <f t="shared" si="5"/>
        <v>0</v>
      </c>
      <c r="C36" s="44" t="str">
        <f t="shared" si="4"/>
        <v/>
      </c>
      <c r="D36" s="74" t="str">
        <f>IF('Tournament Details'!A1&gt;=1,IF('Tournament Details'!C40&lt;=LARGE('Round 1'!$C:$C,1),VLOOKUP(SMALL('Round 1'!$C:$C,34),'Round 1'!$C:$D,2,FALSE),""),"")</f>
        <v/>
      </c>
      <c r="E36" s="44" t="str">
        <f>IF(D36="","",B36+VLOOKUP(D36,'Round 1'!$D:$E,2,FALSE))</f>
        <v/>
      </c>
      <c r="F36" s="44" t="str">
        <f>IF(D36="","",(LARGE('Tournament Details'!$C:$C,1)+1-D36)+E36)</f>
        <v/>
      </c>
      <c r="G36" s="24" t="str">
        <f>D35</f>
        <v/>
      </c>
      <c r="H36" s="26" t="str">
        <f>IF(D36="","",IF(VLOOKUP(D36,'Tournament Details'!$C:$G,5,FALSE)="",D36,VLOOKUP(D36,'Tournament Details'!$C:$G,5,FALSE)))</f>
        <v/>
      </c>
      <c r="I36" s="12" t="str">
        <f>IF(D36=0,"",IF(VLOOKUP(D36,'Tournament Details'!$C:$E,3,FALSE)&gt;0,VLOOKUP(D36,'Tournament Details'!$C:$E,3,FALSE),""))</f>
        <v/>
      </c>
      <c r="J36" s="124"/>
      <c r="K36" s="124"/>
      <c r="L36" s="23"/>
      <c r="M36" s="24"/>
      <c r="N36" s="24"/>
      <c r="O36" s="24"/>
      <c r="P36" s="187">
        <v>0</v>
      </c>
      <c r="Q36" s="183">
        <f t="shared" si="6"/>
        <v>0</v>
      </c>
      <c r="R36" s="135" t="str">
        <f t="shared" si="7"/>
        <v/>
      </c>
      <c r="S36" s="135" t="str">
        <f>IF(Q36="","",IF(Q35+Q36&lt;&gt;20,IF(Q35+Q36&lt;&gt;0,"!",""),""))</f>
        <v/>
      </c>
      <c r="T36" s="21" t="str">
        <f t="shared" si="8"/>
        <v/>
      </c>
      <c r="U36" s="132">
        <f>IF(D36="",0,VLOOKUP(D36,'Tournament Details'!$C:$X,22,FALSE))</f>
        <v>0</v>
      </c>
      <c r="V36" s="132">
        <f>IF(D36="",0,VLOOKUP(D36,'Tournament Details'!$C:$Y,23,FALSE))</f>
        <v>0</v>
      </c>
      <c r="W36" s="132">
        <f>IF(D36="",0,VLOOKUP(D36,'Tournament Details'!$C:$Z,24,FALSE))</f>
        <v>0</v>
      </c>
      <c r="X36" s="132">
        <f>IF(D36="",0,VLOOKUP(D36,'Tournament Details'!$C:$AA,25,FALSE))</f>
        <v>0</v>
      </c>
      <c r="Y36" s="40" t="str">
        <f>IF(D36="","",IF(COUNTIF(D:D,D36)&gt;1,"DUPLICATE PLAYER",IF(D35="","NO OPPONENT",IF(D35=U36,"REPEAT MATCHUP",IF(H36=H35,"SAME TEAM","")))))</f>
        <v/>
      </c>
      <c r="Z36" s="40"/>
      <c r="AA36" t="str">
        <f>IF(Y36="NO OPPONENT","",IF(Y36&lt;&gt;"",CONCATENATE("Previous Matchup Player #: ",VLOOKUP(D36,'Tournament Details'!$C:$X,22,FALSE)),""))</f>
        <v/>
      </c>
    </row>
    <row r="37" spans="1:27" ht="15" customHeight="1" thickBot="1" x14ac:dyDescent="0.35">
      <c r="A37" s="224" t="str">
        <f>IF('Tournament Details'!A1&gt;=1,IF(LARGE('Tournament Details'!C7:C86,1)&gt;=36,18,""),"")</f>
        <v/>
      </c>
      <c r="B37" s="42">
        <f t="shared" si="5"/>
        <v>0</v>
      </c>
      <c r="C37" s="44" t="str">
        <f t="shared" si="4"/>
        <v/>
      </c>
      <c r="D37" s="66" t="str">
        <f>IF('Tournament Details'!A1&gt;=1,IF('Tournament Details'!C41&lt;=LARGE('Round 1'!$C:$C,1),VLOOKUP(SMALL('Round 1'!$C:$C,35),'Round 1'!$C:$D,2,FALSE),""),"")</f>
        <v/>
      </c>
      <c r="E37" s="44" t="str">
        <f>IF(D37="","",B37+VLOOKUP(D37,'Round 1'!$D:$E,2,FALSE))</f>
        <v/>
      </c>
      <c r="F37" s="44" t="str">
        <f>IF(D37="","",(LARGE('Tournament Details'!$C:$C,1)+1-D37)+E37)</f>
        <v/>
      </c>
      <c r="G37" s="23" t="str">
        <f>D38</f>
        <v/>
      </c>
      <c r="H37" s="25" t="str">
        <f>IF(D37="","",IF(VLOOKUP(D37,'Tournament Details'!$C:$G,5,FALSE)="",D37,VLOOKUP(D37,'Tournament Details'!$C:$G,5,FALSE)))</f>
        <v/>
      </c>
      <c r="I37" s="7" t="str">
        <f>IF(D37=0,"",IF(VLOOKUP(D37,'Tournament Details'!$C:$E,3,FALSE)&gt;0,VLOOKUP(D37,'Tournament Details'!$C:$E,3,FALSE),""))</f>
        <v/>
      </c>
      <c r="J37" s="123"/>
      <c r="K37" s="123"/>
      <c r="L37" s="23"/>
      <c r="M37" s="23"/>
      <c r="N37" s="23"/>
      <c r="O37" s="23"/>
      <c r="P37" s="186">
        <v>0</v>
      </c>
      <c r="Q37" s="183">
        <f t="shared" si="6"/>
        <v>0</v>
      </c>
      <c r="R37" s="135" t="str">
        <f t="shared" si="7"/>
        <v/>
      </c>
      <c r="S37" s="135" t="str">
        <f>IF(Q37="","",IF(Q37+Q38&lt;&gt;20,IF(Q37+Q38&lt;&gt;0,"!",""),""))</f>
        <v/>
      </c>
      <c r="T37" s="21" t="str">
        <f t="shared" si="8"/>
        <v/>
      </c>
      <c r="U37" s="132">
        <f>IF(D37="",0,VLOOKUP(D37,'Tournament Details'!$C:$X,22,FALSE))</f>
        <v>0</v>
      </c>
      <c r="V37" s="132">
        <f>IF(D37="",0,VLOOKUP(D37,'Tournament Details'!$C:$Y,23,FALSE))</f>
        <v>0</v>
      </c>
      <c r="W37" s="132">
        <f>IF(D37="",0,VLOOKUP(D37,'Tournament Details'!$C:$Z,24,FALSE))</f>
        <v>0</v>
      </c>
      <c r="X37" s="132">
        <f>IF(D37="",0,VLOOKUP(D37,'Tournament Details'!$C:$AA,25,FALSE))</f>
        <v>0</v>
      </c>
      <c r="Y37" s="40" t="str">
        <f>IF(D37="","",IF(COUNTIF(D:D,D37)&gt;1,"DUPLICATE PLAYER",IF(D38="","NO OPPONENT",IF(D38=U37,"REPEAT MATCHUP",IF(H37=H38,"SAME TEAM","")))))</f>
        <v/>
      </c>
      <c r="Z37" s="40"/>
      <c r="AA37" t="str">
        <f>IF(Y37="NO OPPONENT","",IF(Y37&lt;&gt;"",CONCATENATE("Previous Matchup Player #: ",VLOOKUP(D37,'Tournament Details'!$C:$X,22,FALSE)),""))</f>
        <v/>
      </c>
    </row>
    <row r="38" spans="1:27" ht="15" customHeight="1" thickBot="1" x14ac:dyDescent="0.35">
      <c r="A38" s="224"/>
      <c r="B38" s="43">
        <f t="shared" si="5"/>
        <v>0</v>
      </c>
      <c r="C38" s="44" t="str">
        <f t="shared" si="4"/>
        <v/>
      </c>
      <c r="D38" s="74" t="str">
        <f>IF('Tournament Details'!A1&gt;=1,IF('Tournament Details'!C42&lt;=LARGE('Round 1'!$C:$C,1),VLOOKUP(SMALL('Round 1'!$C:$C,36),'Round 1'!$C:$D,2,FALSE),""),"")</f>
        <v/>
      </c>
      <c r="E38" s="44" t="str">
        <f>IF(D38="","",B38+VLOOKUP(D38,'Round 1'!$D:$E,2,FALSE))</f>
        <v/>
      </c>
      <c r="F38" s="44" t="str">
        <f>IF(D38="","",(LARGE('Tournament Details'!$C:$C,1)+1-D38)+E38)</f>
        <v/>
      </c>
      <c r="G38" s="24" t="str">
        <f>D37</f>
        <v/>
      </c>
      <c r="H38" s="26" t="str">
        <f>IF(D38="","",IF(VLOOKUP(D38,'Tournament Details'!$C:$G,5,FALSE)="",D38,VLOOKUP(D38,'Tournament Details'!$C:$G,5,FALSE)))</f>
        <v/>
      </c>
      <c r="I38" s="12" t="str">
        <f>IF(D38=0,"",IF(VLOOKUP(D38,'Tournament Details'!$C:$E,3,FALSE)&gt;0,VLOOKUP(D38,'Tournament Details'!$C:$E,3,FALSE),""))</f>
        <v/>
      </c>
      <c r="J38" s="124"/>
      <c r="K38" s="124"/>
      <c r="L38" s="23"/>
      <c r="M38" s="24"/>
      <c r="N38" s="24"/>
      <c r="O38" s="24"/>
      <c r="P38" s="187">
        <v>0</v>
      </c>
      <c r="Q38" s="183">
        <f t="shared" si="6"/>
        <v>0</v>
      </c>
      <c r="R38" s="135" t="str">
        <f t="shared" si="7"/>
        <v/>
      </c>
      <c r="S38" s="135" t="str">
        <f>IF(Q38="","",IF(Q37+Q38&lt;&gt;20,IF(Q37+Q38&lt;&gt;0,"!",""),""))</f>
        <v/>
      </c>
      <c r="T38" s="21" t="str">
        <f t="shared" si="8"/>
        <v/>
      </c>
      <c r="U38" s="132">
        <f>IF(D38="",0,VLOOKUP(D38,'Tournament Details'!$C:$X,22,FALSE))</f>
        <v>0</v>
      </c>
      <c r="V38" s="132">
        <f>IF(D38="",0,VLOOKUP(D38,'Tournament Details'!$C:$Y,23,FALSE))</f>
        <v>0</v>
      </c>
      <c r="W38" s="132">
        <f>IF(D38="",0,VLOOKUP(D38,'Tournament Details'!$C:$Z,24,FALSE))</f>
        <v>0</v>
      </c>
      <c r="X38" s="132">
        <f>IF(D38="",0,VLOOKUP(D38,'Tournament Details'!$C:$AA,25,FALSE))</f>
        <v>0</v>
      </c>
      <c r="Y38" s="40" t="str">
        <f>IF(D38="","",IF(COUNTIF(D:D,D38)&gt;1,"DUPLICATE PLAYER",IF(D37="","NO OPPONENT",IF(D37=U38,"REPEAT MATCHUP",IF(H38=H37,"SAME TEAM","")))))</f>
        <v/>
      </c>
      <c r="Z38" s="40"/>
      <c r="AA38" t="str">
        <f>IF(Y38="NO OPPONENT","",IF(Y38&lt;&gt;"",CONCATENATE("Previous Matchup Player #: ",VLOOKUP(D38,'Tournament Details'!$C:$X,22,FALSE)),""))</f>
        <v/>
      </c>
    </row>
    <row r="39" spans="1:27" ht="15" customHeight="1" thickBot="1" x14ac:dyDescent="0.35">
      <c r="A39" s="224" t="str">
        <f>IF('Tournament Details'!A1&gt;=1,IF(LARGE('Tournament Details'!C7:C86,1)&gt;=38,19,""),"")</f>
        <v/>
      </c>
      <c r="B39" s="42">
        <f t="shared" si="5"/>
        <v>0</v>
      </c>
      <c r="C39" s="44" t="str">
        <f t="shared" si="4"/>
        <v/>
      </c>
      <c r="D39" s="66" t="str">
        <f>IF('Tournament Details'!A1&gt;=1,IF('Tournament Details'!C43&lt;=LARGE('Round 1'!$C:$C,1),VLOOKUP(SMALL('Round 1'!$C:$C,37),'Round 1'!$C:$D,2,FALSE),""),"")</f>
        <v/>
      </c>
      <c r="E39" s="44" t="str">
        <f>IF(D39="","",B39+VLOOKUP(D39,'Round 1'!$D:$E,2,FALSE))</f>
        <v/>
      </c>
      <c r="F39" s="44" t="str">
        <f>IF(D39="","",(LARGE('Tournament Details'!$C:$C,1)+1-D39)+E39)</f>
        <v/>
      </c>
      <c r="G39" s="23" t="str">
        <f>D40</f>
        <v/>
      </c>
      <c r="H39" s="25" t="str">
        <f>IF(D39="","",IF(VLOOKUP(D39,'Tournament Details'!$C:$G,5,FALSE)="",D39,VLOOKUP(D39,'Tournament Details'!$C:$G,5,FALSE)))</f>
        <v/>
      </c>
      <c r="I39" s="7" t="str">
        <f>IF(D39=0,"",IF(VLOOKUP(D39,'Tournament Details'!$C:$E,3,FALSE)&gt;0,VLOOKUP(D39,'Tournament Details'!$C:$E,3,FALSE),""))</f>
        <v/>
      </c>
      <c r="J39" s="123"/>
      <c r="K39" s="123"/>
      <c r="L39" s="23"/>
      <c r="M39" s="23"/>
      <c r="N39" s="23"/>
      <c r="O39" s="23"/>
      <c r="P39" s="186">
        <v>0</v>
      </c>
      <c r="Q39" s="183">
        <f t="shared" si="6"/>
        <v>0</v>
      </c>
      <c r="R39" s="135" t="str">
        <f t="shared" si="7"/>
        <v/>
      </c>
      <c r="S39" s="135" t="str">
        <f>IF(Q39="","",IF(Q39+Q40&lt;&gt;20,IF(Q39+Q40&lt;&gt;0,"!",""),""))</f>
        <v/>
      </c>
      <c r="T39" s="21" t="str">
        <f t="shared" si="8"/>
        <v/>
      </c>
      <c r="U39" s="132">
        <f>IF(D39="",0,VLOOKUP(D39,'Tournament Details'!$C:$X,22,FALSE))</f>
        <v>0</v>
      </c>
      <c r="V39" s="132">
        <f>IF(D39="",0,VLOOKUP(D39,'Tournament Details'!$C:$Y,23,FALSE))</f>
        <v>0</v>
      </c>
      <c r="W39" s="132">
        <f>IF(D39="",0,VLOOKUP(D39,'Tournament Details'!$C:$Z,24,FALSE))</f>
        <v>0</v>
      </c>
      <c r="X39" s="132">
        <f>IF(D39="",0,VLOOKUP(D39,'Tournament Details'!$C:$AA,25,FALSE))</f>
        <v>0</v>
      </c>
      <c r="Y39" s="40" t="str">
        <f>IF(D39="","",IF(COUNTIF(D:D,D39)&gt;1,"DUPLICATE PLAYER",IF(D40="","NO OPPONENT",IF(D40=U39,"REPEAT MATCHUP",IF(H39=H40,"SAME TEAM","")))))</f>
        <v/>
      </c>
      <c r="Z39" s="40"/>
      <c r="AA39" t="str">
        <f>IF(Y39="NO OPPONENT","",IF(Y39&lt;&gt;"",CONCATENATE("Previous Matchup Player #: ",VLOOKUP(D39,'Tournament Details'!$C:$X,22,FALSE)),""))</f>
        <v/>
      </c>
    </row>
    <row r="40" spans="1:27" ht="15" customHeight="1" thickBot="1" x14ac:dyDescent="0.35">
      <c r="A40" s="224"/>
      <c r="B40" s="43">
        <f t="shared" si="5"/>
        <v>0</v>
      </c>
      <c r="C40" s="44" t="str">
        <f t="shared" si="4"/>
        <v/>
      </c>
      <c r="D40" s="74" t="str">
        <f>IF('Tournament Details'!A1&gt;=1,IF('Tournament Details'!C44&lt;=LARGE('Round 1'!$C:$C,1),VLOOKUP(SMALL('Round 1'!$C:$C,38),'Round 1'!$C:$D,2,FALSE),""),"")</f>
        <v/>
      </c>
      <c r="E40" s="44" t="str">
        <f>IF(D40="","",B40+VLOOKUP(D40,'Round 1'!$D:$E,2,FALSE))</f>
        <v/>
      </c>
      <c r="F40" s="44" t="str">
        <f>IF(D40="","",(LARGE('Tournament Details'!$C:$C,1)+1-D40)+E40)</f>
        <v/>
      </c>
      <c r="G40" s="24" t="str">
        <f>D39</f>
        <v/>
      </c>
      <c r="H40" s="26" t="str">
        <f>IF(D40="","",IF(VLOOKUP(D40,'Tournament Details'!$C:$G,5,FALSE)="",D40,VLOOKUP(D40,'Tournament Details'!$C:$G,5,FALSE)))</f>
        <v/>
      </c>
      <c r="I40" s="12" t="str">
        <f>IF(D40=0,"",IF(VLOOKUP(D40,'Tournament Details'!$C:$E,3,FALSE)&gt;0,VLOOKUP(D40,'Tournament Details'!$C:$E,3,FALSE),""))</f>
        <v/>
      </c>
      <c r="J40" s="124"/>
      <c r="K40" s="124"/>
      <c r="L40" s="23"/>
      <c r="M40" s="24"/>
      <c r="N40" s="24"/>
      <c r="O40" s="24"/>
      <c r="P40" s="187">
        <v>0</v>
      </c>
      <c r="Q40" s="183">
        <f t="shared" si="6"/>
        <v>0</v>
      </c>
      <c r="R40" s="135" t="str">
        <f t="shared" si="7"/>
        <v/>
      </c>
      <c r="S40" s="135" t="str">
        <f>IF(Q40="","",IF(Q39+Q40&lt;&gt;20,IF(Q39+Q40&lt;&gt;0,"!",""),""))</f>
        <v/>
      </c>
      <c r="T40" s="21" t="str">
        <f t="shared" si="8"/>
        <v/>
      </c>
      <c r="U40" s="132">
        <f>IF(D40="",0,VLOOKUP(D40,'Tournament Details'!$C:$X,22,FALSE))</f>
        <v>0</v>
      </c>
      <c r="V40" s="132">
        <f>IF(D40="",0,VLOOKUP(D40,'Tournament Details'!$C:$Y,23,FALSE))</f>
        <v>0</v>
      </c>
      <c r="W40" s="132">
        <f>IF(D40="",0,VLOOKUP(D40,'Tournament Details'!$C:$Z,24,FALSE))</f>
        <v>0</v>
      </c>
      <c r="X40" s="132">
        <f>IF(D40="",0,VLOOKUP(D40,'Tournament Details'!$C:$AA,25,FALSE))</f>
        <v>0</v>
      </c>
      <c r="Y40" s="40" t="str">
        <f>IF(D40="","",IF(COUNTIF(D:D,D40)&gt;1,"DUPLICATE PLAYER",IF(D39="","NO OPPONENT",IF(D39=U40,"REPEAT MATCHUP",IF(H40=H39,"SAME TEAM","")))))</f>
        <v/>
      </c>
      <c r="Z40" s="40"/>
      <c r="AA40" t="str">
        <f>IF(Y40="NO OPPONENT","",IF(Y40&lt;&gt;"",CONCATENATE("Previous Matchup Player #: ",VLOOKUP(D40,'Tournament Details'!$C:$X,22,FALSE)),""))</f>
        <v/>
      </c>
    </row>
    <row r="41" spans="1:27" ht="15" customHeight="1" thickBot="1" x14ac:dyDescent="0.35">
      <c r="A41" s="224" t="str">
        <f>IF('Tournament Details'!A1&gt;=1,IF(LARGE('Tournament Details'!C7:C86,1)&gt;=40,20,""),"")</f>
        <v/>
      </c>
      <c r="B41" s="42">
        <f t="shared" si="5"/>
        <v>0</v>
      </c>
      <c r="C41" s="44" t="str">
        <f t="shared" si="4"/>
        <v/>
      </c>
      <c r="D41" s="66" t="str">
        <f>IF('Tournament Details'!A1&gt;=1,IF('Tournament Details'!C45&lt;=LARGE('Round 1'!$C:$C,1),VLOOKUP(SMALL('Round 1'!$C:$C,39),'Round 1'!$C:$D,2,FALSE),""),"")</f>
        <v/>
      </c>
      <c r="E41" s="44" t="str">
        <f>IF(D41="","",B41+VLOOKUP(D41,'Round 1'!$D:$E,2,FALSE))</f>
        <v/>
      </c>
      <c r="F41" s="44" t="str">
        <f>IF(D41="","",(LARGE('Tournament Details'!$C:$C,1)+1-D41)+E41)</f>
        <v/>
      </c>
      <c r="G41" s="23" t="str">
        <f>D42</f>
        <v/>
      </c>
      <c r="H41" s="25" t="str">
        <f>IF(D41="","",IF(VLOOKUP(D41,'Tournament Details'!$C:$G,5,FALSE)="",D41,VLOOKUP(D41,'Tournament Details'!$C:$G,5,FALSE)))</f>
        <v/>
      </c>
      <c r="I41" s="7" t="str">
        <f>IF(D41=0,"",IF(VLOOKUP(D41,'Tournament Details'!$C:$E,3,FALSE)&gt;0,VLOOKUP(D41,'Tournament Details'!$C:$E,3,FALSE),""))</f>
        <v/>
      </c>
      <c r="J41" s="123"/>
      <c r="K41" s="123"/>
      <c r="L41" s="23"/>
      <c r="M41" s="23"/>
      <c r="N41" s="23"/>
      <c r="O41" s="23"/>
      <c r="P41" s="186">
        <v>0</v>
      </c>
      <c r="Q41" s="183">
        <f t="shared" si="6"/>
        <v>0</v>
      </c>
      <c r="R41" s="135" t="str">
        <f t="shared" si="7"/>
        <v/>
      </c>
      <c r="S41" s="135" t="str">
        <f>IF(Q41="","",IF(Q41+Q42&lt;&gt;20,IF(Q41+Q42&lt;&gt;0,"!",""),""))</f>
        <v/>
      </c>
      <c r="T41" s="21" t="str">
        <f t="shared" si="8"/>
        <v/>
      </c>
      <c r="U41" s="132">
        <f>IF(D41="",0,VLOOKUP(D41,'Tournament Details'!$C:$X,22,FALSE))</f>
        <v>0</v>
      </c>
      <c r="V41" s="132">
        <f>IF(D41="",0,VLOOKUP(D41,'Tournament Details'!$C:$Y,23,FALSE))</f>
        <v>0</v>
      </c>
      <c r="W41" s="132">
        <f>IF(D41="",0,VLOOKUP(D41,'Tournament Details'!$C:$Z,24,FALSE))</f>
        <v>0</v>
      </c>
      <c r="X41" s="132">
        <f>IF(D41="",0,VLOOKUP(D41,'Tournament Details'!$C:$AA,25,FALSE))</f>
        <v>0</v>
      </c>
      <c r="Y41" s="40" t="str">
        <f>IF(D41="","",IF(COUNTIF(D:D,D41)&gt;1,"DUPLICATE PLAYER",IF(D42="","NO OPPONENT",IF(D42=U41,"REPEAT MATCHUP",IF(H41=H42,"SAME TEAM","")))))</f>
        <v/>
      </c>
      <c r="Z41" s="40"/>
      <c r="AA41" t="str">
        <f>IF(Y41="NO OPPONENT","",IF(Y41&lt;&gt;"",CONCATENATE("Previous Matchup Player #: ",VLOOKUP(D41,'Tournament Details'!$C:$X,22,FALSE)),""))</f>
        <v/>
      </c>
    </row>
    <row r="42" spans="1:27" ht="15" customHeight="1" thickBot="1" x14ac:dyDescent="0.35">
      <c r="A42" s="224"/>
      <c r="B42" s="43">
        <f t="shared" si="5"/>
        <v>0</v>
      </c>
      <c r="C42" s="44" t="str">
        <f t="shared" si="4"/>
        <v/>
      </c>
      <c r="D42" s="74" t="str">
        <f>IF('Tournament Details'!A1&gt;=1,IF('Tournament Details'!C46&lt;=LARGE('Round 1'!$C:$C,1),VLOOKUP(SMALL('Round 1'!$C:$C,40),'Round 1'!$C:$D,2,FALSE),""),"")</f>
        <v/>
      </c>
      <c r="E42" s="44" t="str">
        <f>IF(D42="","",B42+VLOOKUP(D42,'Round 1'!$D:$E,2,FALSE))</f>
        <v/>
      </c>
      <c r="F42" s="44" t="str">
        <f>IF(D42="","",(LARGE('Tournament Details'!$C:$C,1)+1-D42)+E42)</f>
        <v/>
      </c>
      <c r="G42" s="24" t="str">
        <f>D41</f>
        <v/>
      </c>
      <c r="H42" s="26" t="str">
        <f>IF(D42="","",IF(VLOOKUP(D42,'Tournament Details'!$C:$G,5,FALSE)="",D42,VLOOKUP(D42,'Tournament Details'!$C:$G,5,FALSE)))</f>
        <v/>
      </c>
      <c r="I42" s="12" t="str">
        <f>IF(D42=0,"",IF(VLOOKUP(D42,'Tournament Details'!$C:$E,3,FALSE)&gt;0,VLOOKUP(D42,'Tournament Details'!$C:$E,3,FALSE),""))</f>
        <v/>
      </c>
      <c r="J42" s="124"/>
      <c r="K42" s="124"/>
      <c r="L42" s="23"/>
      <c r="M42" s="24"/>
      <c r="N42" s="24"/>
      <c r="O42" s="24"/>
      <c r="P42" s="187">
        <v>0</v>
      </c>
      <c r="Q42" s="183">
        <f t="shared" si="6"/>
        <v>0</v>
      </c>
      <c r="R42" s="135" t="str">
        <f t="shared" si="7"/>
        <v/>
      </c>
      <c r="S42" s="135" t="str">
        <f>IF(Q42="","",IF(Q41+Q42&lt;&gt;20,IF(Q41+Q42&lt;&gt;0,"!",""),""))</f>
        <v/>
      </c>
      <c r="T42" s="21" t="str">
        <f t="shared" si="8"/>
        <v/>
      </c>
      <c r="U42" s="132">
        <f>IF(D42="",0,VLOOKUP(D42,'Tournament Details'!$C:$X,22,FALSE))</f>
        <v>0</v>
      </c>
      <c r="V42" s="132">
        <f>IF(D42="",0,VLOOKUP(D42,'Tournament Details'!$C:$Y,23,FALSE))</f>
        <v>0</v>
      </c>
      <c r="W42" s="132">
        <f>IF(D42="",0,VLOOKUP(D42,'Tournament Details'!$C:$Z,24,FALSE))</f>
        <v>0</v>
      </c>
      <c r="X42" s="132">
        <f>IF(D42="",0,VLOOKUP(D42,'Tournament Details'!$C:$AA,25,FALSE))</f>
        <v>0</v>
      </c>
      <c r="Y42" s="40" t="str">
        <f>IF(D42="","",IF(COUNTIF(D:D,D42)&gt;1,"DUPLICATE PLAYER",IF(D41="","NO OPPONENT",IF(D41=U42,"REPEAT MATCHUP",IF(H42=H41,"SAME TEAM","")))))</f>
        <v/>
      </c>
      <c r="Z42" s="40"/>
      <c r="AA42" t="str">
        <f>IF(Y42="NO OPPONENT","",IF(Y42&lt;&gt;"",CONCATENATE("Previous Matchup Player #: ",VLOOKUP(D42,'Tournament Details'!$C:$X,22,FALSE)),""))</f>
        <v/>
      </c>
    </row>
    <row r="43" spans="1:27" ht="15" customHeight="1" thickBot="1" x14ac:dyDescent="0.35">
      <c r="A43" s="224" t="str">
        <f>IF('Tournament Details'!A1&gt;=1,IF(LARGE('Tournament Details'!C7:C86,1)&gt;=42,21,""),"")</f>
        <v/>
      </c>
      <c r="B43" s="42">
        <f t="shared" si="5"/>
        <v>0</v>
      </c>
      <c r="C43" s="44" t="str">
        <f t="shared" si="4"/>
        <v/>
      </c>
      <c r="D43" s="66" t="str">
        <f>IF('Tournament Details'!A1&gt;=1,IF('Tournament Details'!C47&lt;=LARGE('Round 1'!$C:$C,1),VLOOKUP(SMALL('Round 1'!$C:$C,41),'Round 1'!$C:$D,2,FALSE),""),"")</f>
        <v/>
      </c>
      <c r="E43" s="44" t="str">
        <f>IF(D43="","",B43+VLOOKUP(D43,'Round 1'!$D:$E,2,FALSE))</f>
        <v/>
      </c>
      <c r="F43" s="44" t="str">
        <f>IF(D43="","",(LARGE('Tournament Details'!$C:$C,1)+1-D43)+E43)</f>
        <v/>
      </c>
      <c r="G43" s="23" t="str">
        <f>D44</f>
        <v/>
      </c>
      <c r="H43" s="25" t="str">
        <f>IF(D43="","",IF(VLOOKUP(D43,'Tournament Details'!$C:$G,5,FALSE)="",D43,VLOOKUP(D43,'Tournament Details'!$C:$G,5,FALSE)))</f>
        <v/>
      </c>
      <c r="I43" s="7" t="str">
        <f>IF(D43=0,"",IF(VLOOKUP(D43,'Tournament Details'!$C:$E,3,FALSE)&gt;0,VLOOKUP(D43,'Tournament Details'!$C:$E,3,FALSE),""))</f>
        <v/>
      </c>
      <c r="J43" s="123"/>
      <c r="K43" s="123"/>
      <c r="L43" s="23"/>
      <c r="M43" s="23"/>
      <c r="N43" s="23"/>
      <c r="O43" s="23"/>
      <c r="P43" s="186">
        <v>0</v>
      </c>
      <c r="Q43" s="183">
        <f t="shared" si="6"/>
        <v>0</v>
      </c>
      <c r="R43" s="135" t="str">
        <f t="shared" si="7"/>
        <v/>
      </c>
      <c r="S43" s="135" t="str">
        <f>IF(Q43="","",IF(Q43+Q44&lt;&gt;20,IF(Q43+Q44&lt;&gt;0,"!",""),""))</f>
        <v/>
      </c>
      <c r="T43" s="21" t="str">
        <f t="shared" si="8"/>
        <v/>
      </c>
      <c r="U43" s="132">
        <f>IF(D43="",0,VLOOKUP(D43,'Tournament Details'!$C:$X,22,FALSE))</f>
        <v>0</v>
      </c>
      <c r="V43" s="132">
        <f>IF(D43="",0,VLOOKUP(D43,'Tournament Details'!$C:$Y,23,FALSE))</f>
        <v>0</v>
      </c>
      <c r="W43" s="132">
        <f>IF(D43="",0,VLOOKUP(D43,'Tournament Details'!$C:$Z,24,FALSE))</f>
        <v>0</v>
      </c>
      <c r="X43" s="132">
        <f>IF(D43="",0,VLOOKUP(D43,'Tournament Details'!$C:$AA,25,FALSE))</f>
        <v>0</v>
      </c>
      <c r="Y43" s="40" t="str">
        <f>IF(D43="","",IF(COUNTIF(D:D,D43)&gt;1,"DUPLICATE PLAYER",IF(D44="","NO OPPONENT",IF(D44=U43,"REPEAT MATCHUP",IF(H43=H44,"SAME TEAM","")))))</f>
        <v/>
      </c>
      <c r="Z43" s="40"/>
      <c r="AA43" t="str">
        <f>IF(Y43="NO OPPONENT","",IF(Y43&lt;&gt;"",CONCATENATE("Previous Matchup Player #: ",VLOOKUP(D43,'Tournament Details'!$C:$X,22,FALSE)),""))</f>
        <v/>
      </c>
    </row>
    <row r="44" spans="1:27" ht="15" customHeight="1" thickBot="1" x14ac:dyDescent="0.35">
      <c r="A44" s="224"/>
      <c r="B44" s="43">
        <f t="shared" si="5"/>
        <v>0</v>
      </c>
      <c r="C44" s="44" t="str">
        <f t="shared" si="4"/>
        <v/>
      </c>
      <c r="D44" s="74" t="str">
        <f>IF('Tournament Details'!A1&gt;=1,IF('Tournament Details'!C48&lt;=LARGE('Round 1'!$C:$C,1),VLOOKUP(SMALL('Round 1'!$C:$C,42),'Round 1'!$C:$D,2,FALSE),""),"")</f>
        <v/>
      </c>
      <c r="E44" s="44" t="str">
        <f>IF(D44="","",B44+VLOOKUP(D44,'Round 1'!$D:$E,2,FALSE))</f>
        <v/>
      </c>
      <c r="F44" s="44" t="str">
        <f>IF(D44="","",(LARGE('Tournament Details'!$C:$C,1)+1-D44)+E44)</f>
        <v/>
      </c>
      <c r="G44" s="24" t="str">
        <f>D43</f>
        <v/>
      </c>
      <c r="H44" s="26" t="str">
        <f>IF(D44="","",IF(VLOOKUP(D44,'Tournament Details'!$C:$G,5,FALSE)="",D44,VLOOKUP(D44,'Tournament Details'!$C:$G,5,FALSE)))</f>
        <v/>
      </c>
      <c r="I44" s="12" t="str">
        <f>IF(D44=0,"",IF(VLOOKUP(D44,'Tournament Details'!$C:$E,3,FALSE)&gt;0,VLOOKUP(D44,'Tournament Details'!$C:$E,3,FALSE),""))</f>
        <v/>
      </c>
      <c r="J44" s="124"/>
      <c r="K44" s="124"/>
      <c r="L44" s="23"/>
      <c r="M44" s="24"/>
      <c r="N44" s="24"/>
      <c r="O44" s="24"/>
      <c r="P44" s="187">
        <v>0</v>
      </c>
      <c r="Q44" s="183">
        <f t="shared" si="6"/>
        <v>0</v>
      </c>
      <c r="R44" s="135" t="str">
        <f t="shared" si="7"/>
        <v/>
      </c>
      <c r="S44" s="135" t="str">
        <f>IF(Q44="","",IF(Q43+Q44&lt;&gt;20,IF(Q43+Q44&lt;&gt;0,"!",""),""))</f>
        <v/>
      </c>
      <c r="T44" s="21" t="str">
        <f t="shared" si="8"/>
        <v/>
      </c>
      <c r="U44" s="132">
        <f>IF(D44="",0,VLOOKUP(D44,'Tournament Details'!$C:$X,22,FALSE))</f>
        <v>0</v>
      </c>
      <c r="V44" s="132">
        <f>IF(D44="",0,VLOOKUP(D44,'Tournament Details'!$C:$Y,23,FALSE))</f>
        <v>0</v>
      </c>
      <c r="W44" s="132">
        <f>IF(D44="",0,VLOOKUP(D44,'Tournament Details'!$C:$Z,24,FALSE))</f>
        <v>0</v>
      </c>
      <c r="X44" s="132">
        <f>IF(D44="",0,VLOOKUP(D44,'Tournament Details'!$C:$AA,25,FALSE))</f>
        <v>0</v>
      </c>
      <c r="Y44" s="40" t="str">
        <f>IF(D44="","",IF(COUNTIF(D:D,D44)&gt;1,"DUPLICATE PLAYER",IF(D43="","NO OPPONENT",IF(D43=U44,"REPEAT MATCHUP",IF(H44=H43,"SAME TEAM","")))))</f>
        <v/>
      </c>
      <c r="Z44" s="40"/>
      <c r="AA44" t="str">
        <f>IF(Y44="NO OPPONENT","",IF(Y44&lt;&gt;"",CONCATENATE("Previous Matchup Player #: ",VLOOKUP(D44,'Tournament Details'!$C:$X,22,FALSE)),""))</f>
        <v/>
      </c>
    </row>
    <row r="45" spans="1:27" ht="15" customHeight="1" thickBot="1" x14ac:dyDescent="0.35">
      <c r="A45" s="224" t="str">
        <f>IF('Tournament Details'!A1&gt;=1,IF(LARGE('Tournament Details'!C7:C86,1)&gt;=44,22,""),"")</f>
        <v/>
      </c>
      <c r="B45" s="42">
        <f t="shared" si="5"/>
        <v>0</v>
      </c>
      <c r="C45" s="44" t="str">
        <f t="shared" si="4"/>
        <v/>
      </c>
      <c r="D45" s="66" t="str">
        <f>IF('Tournament Details'!A1&gt;=1,IF('Tournament Details'!C49&lt;=LARGE('Round 1'!$C:$C,1),VLOOKUP(SMALL('Round 1'!$C:$C,43),'Round 1'!$C:$D,2,FALSE),""),"")</f>
        <v/>
      </c>
      <c r="E45" s="44" t="str">
        <f>IF(D45="","",B45+VLOOKUP(D45,'Round 1'!$D:$E,2,FALSE))</f>
        <v/>
      </c>
      <c r="F45" s="44" t="str">
        <f>IF(D45="","",(LARGE('Tournament Details'!$C:$C,1)+1-D45)+E45)</f>
        <v/>
      </c>
      <c r="G45" s="23" t="str">
        <f>D46</f>
        <v/>
      </c>
      <c r="H45" s="25" t="str">
        <f>IF(D45="","",IF(VLOOKUP(D45,'Tournament Details'!$C:$G,5,FALSE)="",D45,VLOOKUP(D45,'Tournament Details'!$C:$G,5,FALSE)))</f>
        <v/>
      </c>
      <c r="I45" s="7" t="str">
        <f>IF(D45=0,"",IF(VLOOKUP(D45,'Tournament Details'!$C:$E,3,FALSE)&gt;0,VLOOKUP(D45,'Tournament Details'!$C:$E,3,FALSE),""))</f>
        <v/>
      </c>
      <c r="J45" s="123"/>
      <c r="K45" s="123"/>
      <c r="L45" s="23"/>
      <c r="M45" s="23"/>
      <c r="N45" s="23"/>
      <c r="O45" s="23"/>
      <c r="P45" s="186">
        <v>0</v>
      </c>
      <c r="Q45" s="183">
        <f t="shared" si="6"/>
        <v>0</v>
      </c>
      <c r="R45" s="135" t="str">
        <f t="shared" si="7"/>
        <v/>
      </c>
      <c r="S45" s="135" t="str">
        <f>IF(Q45="","",IF(Q45+Q46&lt;&gt;20,IF(Q45+Q46&lt;&gt;0,"!",""),""))</f>
        <v/>
      </c>
      <c r="T45" s="21" t="str">
        <f t="shared" si="8"/>
        <v/>
      </c>
      <c r="U45" s="132">
        <f>IF(D45="",0,VLOOKUP(D45,'Tournament Details'!$C:$X,22,FALSE))</f>
        <v>0</v>
      </c>
      <c r="V45" s="132">
        <f>IF(D45="",0,VLOOKUP(D45,'Tournament Details'!$C:$Y,23,FALSE))</f>
        <v>0</v>
      </c>
      <c r="W45" s="132">
        <f>IF(D45="",0,VLOOKUP(D45,'Tournament Details'!$C:$Z,24,FALSE))</f>
        <v>0</v>
      </c>
      <c r="X45" s="132">
        <f>IF(D45="",0,VLOOKUP(D45,'Tournament Details'!$C:$AA,25,FALSE))</f>
        <v>0</v>
      </c>
      <c r="Y45" s="40" t="str">
        <f>IF(D45="","",IF(COUNTIF(D:D,D45)&gt;1,"DUPLICATE PLAYER",IF(D46="","NO OPPONENT",IF(D46=U45,"REPEAT MATCHUP",IF(H45=H46,"SAME TEAM","")))))</f>
        <v/>
      </c>
      <c r="Z45" s="40"/>
      <c r="AA45" t="str">
        <f>IF(Y45="NO OPPONENT","",IF(Y45&lt;&gt;"",CONCATENATE("Previous Matchup Player #: ",VLOOKUP(D45,'Tournament Details'!$C:$X,22,FALSE)),""))</f>
        <v/>
      </c>
    </row>
    <row r="46" spans="1:27" ht="15" customHeight="1" thickBot="1" x14ac:dyDescent="0.35">
      <c r="A46" s="224"/>
      <c r="B46" s="43">
        <f t="shared" si="5"/>
        <v>0</v>
      </c>
      <c r="C46" s="44" t="str">
        <f t="shared" si="4"/>
        <v/>
      </c>
      <c r="D46" s="74" t="str">
        <f>IF('Tournament Details'!A1&gt;=1,IF('Tournament Details'!C50&lt;=LARGE('Round 1'!$C:$C,1),VLOOKUP(SMALL('Round 1'!$C:$C,44),'Round 1'!$C:$D,2,FALSE),""),"")</f>
        <v/>
      </c>
      <c r="E46" s="44" t="str">
        <f>IF(D46="","",B46+VLOOKUP(D46,'Round 1'!$D:$E,2,FALSE))</f>
        <v/>
      </c>
      <c r="F46" s="44" t="str">
        <f>IF(D46="","",(LARGE('Tournament Details'!$C:$C,1)+1-D46)+E46)</f>
        <v/>
      </c>
      <c r="G46" s="24" t="str">
        <f>D45</f>
        <v/>
      </c>
      <c r="H46" s="26" t="str">
        <f>IF(D46="","",IF(VLOOKUP(D46,'Tournament Details'!$C:$G,5,FALSE)="",D46,VLOOKUP(D46,'Tournament Details'!$C:$G,5,FALSE)))</f>
        <v/>
      </c>
      <c r="I46" s="12" t="str">
        <f>IF(D46=0,"",IF(VLOOKUP(D46,'Tournament Details'!$C:$E,3,FALSE)&gt;0,VLOOKUP(D46,'Tournament Details'!$C:$E,3,FALSE),""))</f>
        <v/>
      </c>
      <c r="J46" s="124"/>
      <c r="K46" s="124"/>
      <c r="L46" s="23"/>
      <c r="M46" s="24"/>
      <c r="N46" s="24"/>
      <c r="O46" s="24"/>
      <c r="P46" s="187">
        <v>0</v>
      </c>
      <c r="Q46" s="183">
        <f t="shared" si="6"/>
        <v>0</v>
      </c>
      <c r="R46" s="135" t="str">
        <f t="shared" si="7"/>
        <v/>
      </c>
      <c r="S46" s="135" t="str">
        <f>IF(Q46="","",IF(Q45+Q46&lt;&gt;20,IF(Q45+Q46&lt;&gt;0,"!",""),""))</f>
        <v/>
      </c>
      <c r="T46" s="21" t="str">
        <f t="shared" si="8"/>
        <v/>
      </c>
      <c r="U46" s="132">
        <f>IF(D46="",0,VLOOKUP(D46,'Tournament Details'!$C:$X,22,FALSE))</f>
        <v>0</v>
      </c>
      <c r="V46" s="132">
        <f>IF(D46="",0,VLOOKUP(D46,'Tournament Details'!$C:$Y,23,FALSE))</f>
        <v>0</v>
      </c>
      <c r="W46" s="132">
        <f>IF(D46="",0,VLOOKUP(D46,'Tournament Details'!$C:$Z,24,FALSE))</f>
        <v>0</v>
      </c>
      <c r="X46" s="132">
        <f>IF(D46="",0,VLOOKUP(D46,'Tournament Details'!$C:$AA,25,FALSE))</f>
        <v>0</v>
      </c>
      <c r="Y46" s="40" t="str">
        <f>IF(D46="","",IF(COUNTIF(D:D,D46)&gt;1,"DUPLICATE PLAYER",IF(D45="","NO OPPONENT",IF(D45=U46,"REPEAT MATCHUP",IF(H46=H45,"SAME TEAM","")))))</f>
        <v/>
      </c>
      <c r="Z46" s="40"/>
      <c r="AA46" t="str">
        <f>IF(Y46="NO OPPONENT","",IF(Y46&lt;&gt;"",CONCATENATE("Previous Matchup Player #: ",VLOOKUP(D46,'Tournament Details'!$C:$X,22,FALSE)),""))</f>
        <v/>
      </c>
    </row>
    <row r="47" spans="1:27" ht="15" customHeight="1" thickBot="1" x14ac:dyDescent="0.35">
      <c r="A47" s="224" t="str">
        <f>IF('Tournament Details'!A1&gt;=1,IF(LARGE('Tournament Details'!C7:C86,1)&gt;=46,23,""),"")</f>
        <v/>
      </c>
      <c r="B47" s="42">
        <f t="shared" si="5"/>
        <v>0</v>
      </c>
      <c r="C47" s="44" t="str">
        <f t="shared" si="4"/>
        <v/>
      </c>
      <c r="D47" s="66" t="str">
        <f>IF('Tournament Details'!A1&gt;=1,IF('Tournament Details'!C51&lt;=LARGE('Round 1'!$C:$C,1),VLOOKUP(SMALL('Round 1'!$C:$C,45),'Round 1'!$C:$D,2,FALSE),""),"")</f>
        <v/>
      </c>
      <c r="E47" s="44" t="str">
        <f>IF(D47="","",B47+VLOOKUP(D47,'Round 1'!$D:$E,2,FALSE))</f>
        <v/>
      </c>
      <c r="F47" s="44" t="str">
        <f>IF(D47="","",(LARGE('Tournament Details'!$C:$C,1)+1-D47)+E47)</f>
        <v/>
      </c>
      <c r="G47" s="23" t="str">
        <f>D48</f>
        <v/>
      </c>
      <c r="H47" s="25" t="str">
        <f>IF(D47="","",IF(VLOOKUP(D47,'Tournament Details'!$C:$G,5,FALSE)="",D47,VLOOKUP(D47,'Tournament Details'!$C:$G,5,FALSE)))</f>
        <v/>
      </c>
      <c r="I47" s="7" t="str">
        <f>IF(D47=0,"",IF(VLOOKUP(D47,'Tournament Details'!$C:$E,3,FALSE)&gt;0,VLOOKUP(D47,'Tournament Details'!$C:$E,3,FALSE),""))</f>
        <v/>
      </c>
      <c r="J47" s="123"/>
      <c r="K47" s="123"/>
      <c r="L47" s="23"/>
      <c r="M47" s="23"/>
      <c r="N47" s="23"/>
      <c r="O47" s="23"/>
      <c r="P47" s="186">
        <v>0</v>
      </c>
      <c r="Q47" s="183">
        <f t="shared" si="6"/>
        <v>0</v>
      </c>
      <c r="R47" s="135" t="str">
        <f t="shared" si="7"/>
        <v/>
      </c>
      <c r="S47" s="135" t="str">
        <f>IF(Q47="","",IF(Q47+Q48&lt;&gt;20,IF(Q47+Q48&lt;&gt;0,"!",""),""))</f>
        <v/>
      </c>
      <c r="T47" s="21" t="str">
        <f t="shared" si="8"/>
        <v/>
      </c>
      <c r="U47" s="132">
        <f>IF(D47="",0,VLOOKUP(D47,'Tournament Details'!$C:$X,22,FALSE))</f>
        <v>0</v>
      </c>
      <c r="V47" s="132">
        <f>IF(D47="",0,VLOOKUP(D47,'Tournament Details'!$C:$Y,23,FALSE))</f>
        <v>0</v>
      </c>
      <c r="W47" s="132">
        <f>IF(D47="",0,VLOOKUP(D47,'Tournament Details'!$C:$Z,24,FALSE))</f>
        <v>0</v>
      </c>
      <c r="X47" s="132">
        <f>IF(D47="",0,VLOOKUP(D47,'Tournament Details'!$C:$AA,25,FALSE))</f>
        <v>0</v>
      </c>
      <c r="Y47" s="40" t="str">
        <f>IF(D47="","",IF(COUNTIF(D:D,D47)&gt;1,"DUPLICATE PLAYER",IF(D48="","NO OPPONENT",IF(D48=U47,"REPEAT MATCHUP",IF(H47=H48,"SAME TEAM","")))))</f>
        <v/>
      </c>
      <c r="Z47" s="40"/>
      <c r="AA47" t="str">
        <f>IF(Y47="NO OPPONENT","",IF(Y47&lt;&gt;"",CONCATENATE("Previous Matchup Player #: ",VLOOKUP(D47,'Tournament Details'!$C:$X,22,FALSE)),""))</f>
        <v/>
      </c>
    </row>
    <row r="48" spans="1:27" ht="15" customHeight="1" thickBot="1" x14ac:dyDescent="0.35">
      <c r="A48" s="224"/>
      <c r="B48" s="43">
        <f t="shared" si="5"/>
        <v>0</v>
      </c>
      <c r="C48" s="44" t="str">
        <f t="shared" si="4"/>
        <v/>
      </c>
      <c r="D48" s="74" t="str">
        <f>IF('Tournament Details'!A1&gt;=1,IF('Tournament Details'!C52&lt;=LARGE('Round 1'!$C:$C,1),VLOOKUP(SMALL('Round 1'!$C:$C,46),'Round 1'!$C:$D,2,FALSE),""),"")</f>
        <v/>
      </c>
      <c r="E48" s="44" t="str">
        <f>IF(D48="","",B48+VLOOKUP(D48,'Round 1'!$D:$E,2,FALSE))</f>
        <v/>
      </c>
      <c r="F48" s="44" t="str">
        <f>IF(D48="","",(LARGE('Tournament Details'!$C:$C,1)+1-D48)+E48)</f>
        <v/>
      </c>
      <c r="G48" s="24" t="str">
        <f>D47</f>
        <v/>
      </c>
      <c r="H48" s="26" t="str">
        <f>IF(D48="","",IF(VLOOKUP(D48,'Tournament Details'!$C:$G,5,FALSE)="",D48,VLOOKUP(D48,'Tournament Details'!$C:$G,5,FALSE)))</f>
        <v/>
      </c>
      <c r="I48" s="12" t="str">
        <f>IF(D48=0,"",IF(VLOOKUP(D48,'Tournament Details'!$C:$E,3,FALSE)&gt;0,VLOOKUP(D48,'Tournament Details'!$C:$E,3,FALSE),""))</f>
        <v/>
      </c>
      <c r="J48" s="124"/>
      <c r="K48" s="124"/>
      <c r="L48" s="23"/>
      <c r="M48" s="24"/>
      <c r="N48" s="24"/>
      <c r="O48" s="24"/>
      <c r="P48" s="187">
        <v>0</v>
      </c>
      <c r="Q48" s="183">
        <f t="shared" si="6"/>
        <v>0</v>
      </c>
      <c r="R48" s="135" t="str">
        <f t="shared" si="7"/>
        <v/>
      </c>
      <c r="S48" s="135" t="str">
        <f>IF(Q48="","",IF(Q47+Q48&lt;&gt;20,IF(Q47+Q48&lt;&gt;0,"!",""),""))</f>
        <v/>
      </c>
      <c r="T48" s="21" t="str">
        <f t="shared" si="8"/>
        <v/>
      </c>
      <c r="U48" s="132">
        <f>IF(D48="",0,VLOOKUP(D48,'Tournament Details'!$C:$X,22,FALSE))</f>
        <v>0</v>
      </c>
      <c r="V48" s="132">
        <f>IF(D48="",0,VLOOKUP(D48,'Tournament Details'!$C:$Y,23,FALSE))</f>
        <v>0</v>
      </c>
      <c r="W48" s="132">
        <f>IF(D48="",0,VLOOKUP(D48,'Tournament Details'!$C:$Z,24,FALSE))</f>
        <v>0</v>
      </c>
      <c r="X48" s="132">
        <f>IF(D48="",0,VLOOKUP(D48,'Tournament Details'!$C:$AA,25,FALSE))</f>
        <v>0</v>
      </c>
      <c r="Y48" s="40" t="str">
        <f>IF(D48="","",IF(COUNTIF(D:D,D48)&gt;1,"DUPLICATE PLAYER",IF(D47="","NO OPPONENT",IF(D47=U48,"REPEAT MATCHUP",IF(H48=H47,"SAME TEAM","")))))</f>
        <v/>
      </c>
      <c r="Z48" s="40"/>
      <c r="AA48" t="str">
        <f>IF(Y48="NO OPPONENT","",IF(Y48&lt;&gt;"",CONCATENATE("Previous Matchup Player #: ",VLOOKUP(D48,'Tournament Details'!$C:$X,22,FALSE)),""))</f>
        <v/>
      </c>
    </row>
    <row r="49" spans="1:27" ht="15" customHeight="1" thickBot="1" x14ac:dyDescent="0.35">
      <c r="A49" s="224" t="str">
        <f>IF('Tournament Details'!A1&gt;=1,IF(LARGE('Tournament Details'!C7:C86,1)&gt;=48,24,""),"")</f>
        <v/>
      </c>
      <c r="B49" s="42">
        <f t="shared" si="5"/>
        <v>0</v>
      </c>
      <c r="C49" s="44" t="str">
        <f t="shared" si="4"/>
        <v/>
      </c>
      <c r="D49" s="66" t="str">
        <f>IF('Tournament Details'!A1&gt;=1,IF('Tournament Details'!C53&lt;=LARGE('Round 1'!$C:$C,1),VLOOKUP(SMALL('Round 1'!$C:$C,47),'Round 1'!$C:$D,2,FALSE),""),"")</f>
        <v/>
      </c>
      <c r="E49" s="44" t="str">
        <f>IF(D49="","",B49+VLOOKUP(D49,'Round 1'!$D:$E,2,FALSE))</f>
        <v/>
      </c>
      <c r="F49" s="44" t="str">
        <f>IF(D49="","",(LARGE('Tournament Details'!$C:$C,1)+1-D49)+E49)</f>
        <v/>
      </c>
      <c r="G49" s="23" t="str">
        <f>D50</f>
        <v/>
      </c>
      <c r="H49" s="25" t="str">
        <f>IF(D49="","",IF(VLOOKUP(D49,'Tournament Details'!$C:$G,5,FALSE)="",D49,VLOOKUP(D49,'Tournament Details'!$C:$G,5,FALSE)))</f>
        <v/>
      </c>
      <c r="I49" s="7" t="str">
        <f>IF(D49=0,"",IF(VLOOKUP(D49,'Tournament Details'!$C:$E,3,FALSE)&gt;0,VLOOKUP(D49,'Tournament Details'!$C:$E,3,FALSE),""))</f>
        <v/>
      </c>
      <c r="J49" s="123"/>
      <c r="K49" s="123"/>
      <c r="L49" s="23"/>
      <c r="M49" s="23"/>
      <c r="N49" s="23"/>
      <c r="O49" s="23"/>
      <c r="P49" s="186">
        <v>0</v>
      </c>
      <c r="Q49" s="183">
        <f t="shared" si="6"/>
        <v>0</v>
      </c>
      <c r="R49" s="135" t="str">
        <f t="shared" si="7"/>
        <v/>
      </c>
      <c r="S49" s="135" t="str">
        <f>IF(Q49="","",IF(Q49+Q50&lt;&gt;20,IF(Q49+Q50&lt;&gt;0,"!",""),""))</f>
        <v/>
      </c>
      <c r="T49" s="21" t="str">
        <f t="shared" si="8"/>
        <v/>
      </c>
      <c r="U49" s="132">
        <f>IF(D49="",0,VLOOKUP(D49,'Tournament Details'!$C:$X,22,FALSE))</f>
        <v>0</v>
      </c>
      <c r="V49" s="132">
        <f>IF(D49="",0,VLOOKUP(D49,'Tournament Details'!$C:$Y,23,FALSE))</f>
        <v>0</v>
      </c>
      <c r="W49" s="132">
        <f>IF(D49="",0,VLOOKUP(D49,'Tournament Details'!$C:$Z,24,FALSE))</f>
        <v>0</v>
      </c>
      <c r="X49" s="132">
        <f>IF(D49="",0,VLOOKUP(D49,'Tournament Details'!$C:$AA,25,FALSE))</f>
        <v>0</v>
      </c>
      <c r="Y49" s="40" t="str">
        <f>IF(D49="","",IF(COUNTIF(D:D,D49)&gt;1,"DUPLICATE PLAYER",IF(D50="","NO OPPONENT",IF(D50=U49,"REPEAT MATCHUP",IF(H49=H50,"SAME TEAM","")))))</f>
        <v/>
      </c>
      <c r="Z49" s="40"/>
      <c r="AA49" t="str">
        <f>IF(Y49="NO OPPONENT","",IF(Y49&lt;&gt;"",CONCATENATE("Previous Matchup Player #: ",VLOOKUP(D49,'Tournament Details'!$C:$X,22,FALSE)),""))</f>
        <v/>
      </c>
    </row>
    <row r="50" spans="1:27" ht="15" customHeight="1" thickBot="1" x14ac:dyDescent="0.35">
      <c r="A50" s="224"/>
      <c r="B50" s="43">
        <f t="shared" si="5"/>
        <v>0</v>
      </c>
      <c r="C50" s="44" t="str">
        <f t="shared" si="4"/>
        <v/>
      </c>
      <c r="D50" s="74" t="str">
        <f>IF('Tournament Details'!A1&gt;=1,IF('Tournament Details'!C54&lt;=LARGE('Round 1'!$C:$C,1),VLOOKUP(SMALL('Round 1'!$C:$C,48),'Round 1'!$C:$D,2,FALSE),""),"")</f>
        <v/>
      </c>
      <c r="E50" s="44" t="str">
        <f>IF(D50="","",B50+VLOOKUP(D50,'Round 1'!$D:$E,2,FALSE))</f>
        <v/>
      </c>
      <c r="F50" s="44" t="str">
        <f>IF(D50="","",(LARGE('Tournament Details'!$C:$C,1)+1-D50)+E50)</f>
        <v/>
      </c>
      <c r="G50" s="24" t="str">
        <f>D49</f>
        <v/>
      </c>
      <c r="H50" s="26" t="str">
        <f>IF(D50="","",IF(VLOOKUP(D50,'Tournament Details'!$C:$G,5,FALSE)="",D50,VLOOKUP(D50,'Tournament Details'!$C:$G,5,FALSE)))</f>
        <v/>
      </c>
      <c r="I50" s="12" t="str">
        <f>IF(D50=0,"",IF(VLOOKUP(D50,'Tournament Details'!$C:$E,3,FALSE)&gt;0,VLOOKUP(D50,'Tournament Details'!$C:$E,3,FALSE),""))</f>
        <v/>
      </c>
      <c r="J50" s="124"/>
      <c r="K50" s="124"/>
      <c r="L50" s="23"/>
      <c r="M50" s="24"/>
      <c r="N50" s="24"/>
      <c r="O50" s="24"/>
      <c r="P50" s="187">
        <v>0</v>
      </c>
      <c r="Q50" s="183">
        <f t="shared" si="6"/>
        <v>0</v>
      </c>
      <c r="R50" s="135" t="str">
        <f t="shared" si="7"/>
        <v/>
      </c>
      <c r="S50" s="135" t="str">
        <f>IF(Q50="","",IF(Q49+Q50&lt;&gt;20,IF(Q49+Q50&lt;&gt;0,"!",""),""))</f>
        <v/>
      </c>
      <c r="T50" s="21" t="str">
        <f t="shared" si="8"/>
        <v/>
      </c>
      <c r="U50" s="132">
        <f>IF(D50="",0,VLOOKUP(D50,'Tournament Details'!$C:$X,22,FALSE))</f>
        <v>0</v>
      </c>
      <c r="V50" s="132">
        <f>IF(D50="",0,VLOOKUP(D50,'Tournament Details'!$C:$Y,23,FALSE))</f>
        <v>0</v>
      </c>
      <c r="W50" s="132">
        <f>IF(D50="",0,VLOOKUP(D50,'Tournament Details'!$C:$Z,24,FALSE))</f>
        <v>0</v>
      </c>
      <c r="X50" s="132">
        <f>IF(D50="",0,VLOOKUP(D50,'Tournament Details'!$C:$AA,25,FALSE))</f>
        <v>0</v>
      </c>
      <c r="Y50" s="40" t="str">
        <f>IF(D50="","",IF(COUNTIF(D:D,D50)&gt;1,"DUPLICATE PLAYER",IF(D49="","NO OPPONENT",IF(D49=U50,"REPEAT MATCHUP",IF(H50=H49,"SAME TEAM","")))))</f>
        <v/>
      </c>
      <c r="Z50" s="40"/>
      <c r="AA50" t="str">
        <f>IF(Y50="NO OPPONENT","",IF(Y50&lt;&gt;"",CONCATENATE("Previous Matchup Player #: ",VLOOKUP(D50,'Tournament Details'!$C:$X,22,FALSE)),""))</f>
        <v/>
      </c>
    </row>
    <row r="51" spans="1:27" ht="15" customHeight="1" thickBot="1" x14ac:dyDescent="0.35">
      <c r="A51" s="224" t="str">
        <f>IF('Tournament Details'!A1&gt;=1,IF(LARGE('Tournament Details'!C7:C86,1)&gt;=50,25,""),"")</f>
        <v/>
      </c>
      <c r="B51" s="42">
        <f t="shared" si="5"/>
        <v>0</v>
      </c>
      <c r="C51" s="44" t="str">
        <f t="shared" si="4"/>
        <v/>
      </c>
      <c r="D51" s="66" t="str">
        <f>IF('Tournament Details'!A1&gt;=1,IF('Tournament Details'!C55&lt;=LARGE('Round 1'!$C:$C,1),VLOOKUP(SMALL('Round 1'!$C:$C,49),'Round 1'!$C:$D,2,FALSE),""),"")</f>
        <v/>
      </c>
      <c r="E51" s="44" t="str">
        <f>IF(D51="","",B51+VLOOKUP(D51,'Round 1'!$D:$E,2,FALSE))</f>
        <v/>
      </c>
      <c r="F51" s="44" t="str">
        <f>IF(D51="","",(LARGE('Tournament Details'!$C:$C,1)+1-D51)+E51)</f>
        <v/>
      </c>
      <c r="G51" s="23" t="str">
        <f>D52</f>
        <v/>
      </c>
      <c r="H51" s="25" t="str">
        <f>IF(D51="","",IF(VLOOKUP(D51,'Tournament Details'!$C:$G,5,FALSE)="",D51,VLOOKUP(D51,'Tournament Details'!$C:$G,5,FALSE)))</f>
        <v/>
      </c>
      <c r="I51" s="7" t="str">
        <f>IF(D51=0,"",IF(VLOOKUP(D51,'Tournament Details'!$C:$E,3,FALSE)&gt;0,VLOOKUP(D51,'Tournament Details'!$C:$E,3,FALSE),""))</f>
        <v/>
      </c>
      <c r="J51" s="123"/>
      <c r="K51" s="123"/>
      <c r="L51" s="23"/>
      <c r="M51" s="23"/>
      <c r="N51" s="23"/>
      <c r="O51" s="23"/>
      <c r="P51" s="186">
        <v>0</v>
      </c>
      <c r="Q51" s="183">
        <f t="shared" si="6"/>
        <v>0</v>
      </c>
      <c r="R51" s="135" t="str">
        <f t="shared" si="7"/>
        <v/>
      </c>
      <c r="S51" s="135" t="str">
        <f>IF(Q51="","",IF(Q51+Q52&lt;&gt;20,IF(Q51+Q52&lt;&gt;0,"!",""),""))</f>
        <v/>
      </c>
      <c r="T51" s="21" t="str">
        <f t="shared" si="8"/>
        <v/>
      </c>
      <c r="U51" s="132">
        <f>IF(D51="",0,VLOOKUP(D51,'Tournament Details'!$C:$X,22,FALSE))</f>
        <v>0</v>
      </c>
      <c r="V51" s="132">
        <f>IF(D51="",0,VLOOKUP(D51,'Tournament Details'!$C:$Y,23,FALSE))</f>
        <v>0</v>
      </c>
      <c r="W51" s="132">
        <f>IF(D51="",0,VLOOKUP(D51,'Tournament Details'!$C:$Z,24,FALSE))</f>
        <v>0</v>
      </c>
      <c r="X51" s="132">
        <f>IF(D51="",0,VLOOKUP(D51,'Tournament Details'!$C:$AA,25,FALSE))</f>
        <v>0</v>
      </c>
      <c r="Y51" s="40" t="str">
        <f>IF(D51="","",IF(COUNTIF(D:D,D51)&gt;1,"DUPLICATE PLAYER",IF(D52="","NO OPPONENT",IF(D52=U51,"REPEAT MATCHUP",IF(H51=H52,"SAME TEAM","")))))</f>
        <v/>
      </c>
      <c r="Z51" s="40"/>
      <c r="AA51" t="str">
        <f>IF(Y51="NO OPPONENT","",IF(Y51&lt;&gt;"",CONCATENATE("Previous Matchup Player #: ",VLOOKUP(D51,'Tournament Details'!$C:$X,22,FALSE)),""))</f>
        <v/>
      </c>
    </row>
    <row r="52" spans="1:27" ht="15" customHeight="1" thickBot="1" x14ac:dyDescent="0.35">
      <c r="A52" s="224"/>
      <c r="B52" s="43">
        <f t="shared" si="5"/>
        <v>0</v>
      </c>
      <c r="C52" s="44" t="str">
        <f t="shared" si="4"/>
        <v/>
      </c>
      <c r="D52" s="74" t="str">
        <f>IF('Tournament Details'!A1&gt;=1,IF('Tournament Details'!C56&lt;=LARGE('Round 1'!$C:$C,1),VLOOKUP(SMALL('Round 1'!$C:$C,50),'Round 1'!$C:$D,2,FALSE),""),"")</f>
        <v/>
      </c>
      <c r="E52" s="44" t="str">
        <f>IF(D52="","",B52+VLOOKUP(D52,'Round 1'!$D:$E,2,FALSE))</f>
        <v/>
      </c>
      <c r="F52" s="44" t="str">
        <f>IF(D52="","",(LARGE('Tournament Details'!$C:$C,1)+1-D52)+E52)</f>
        <v/>
      </c>
      <c r="G52" s="24" t="str">
        <f>D51</f>
        <v/>
      </c>
      <c r="H52" s="26" t="str">
        <f>IF(D52="","",IF(VLOOKUP(D52,'Tournament Details'!$C:$G,5,FALSE)="",D52,VLOOKUP(D52,'Tournament Details'!$C:$G,5,FALSE)))</f>
        <v/>
      </c>
      <c r="I52" s="12" t="str">
        <f>IF(D52=0,"",IF(VLOOKUP(D52,'Tournament Details'!$C:$E,3,FALSE)&gt;0,VLOOKUP(D52,'Tournament Details'!$C:$E,3,FALSE),""))</f>
        <v/>
      </c>
      <c r="J52" s="124"/>
      <c r="K52" s="124"/>
      <c r="L52" s="23"/>
      <c r="M52" s="24"/>
      <c r="N52" s="24"/>
      <c r="O52" s="24"/>
      <c r="P52" s="187">
        <v>0</v>
      </c>
      <c r="Q52" s="183">
        <f t="shared" si="6"/>
        <v>0</v>
      </c>
      <c r="R52" s="135" t="str">
        <f t="shared" si="7"/>
        <v/>
      </c>
      <c r="S52" s="135" t="str">
        <f>IF(Q52="","",IF(Q51+Q52&lt;&gt;20,IF(Q51+Q52&lt;&gt;0,"!",""),""))</f>
        <v/>
      </c>
      <c r="T52" s="21" t="str">
        <f t="shared" si="8"/>
        <v/>
      </c>
      <c r="U52" s="132">
        <f>IF(D52="",0,VLOOKUP(D52,'Tournament Details'!$C:$X,22,FALSE))</f>
        <v>0</v>
      </c>
      <c r="V52" s="132">
        <f>IF(D52="",0,VLOOKUP(D52,'Tournament Details'!$C:$Y,23,FALSE))</f>
        <v>0</v>
      </c>
      <c r="W52" s="132">
        <f>IF(D52="",0,VLOOKUP(D52,'Tournament Details'!$C:$Z,24,FALSE))</f>
        <v>0</v>
      </c>
      <c r="X52" s="132">
        <f>IF(D52="",0,VLOOKUP(D52,'Tournament Details'!$C:$AA,25,FALSE))</f>
        <v>0</v>
      </c>
      <c r="Y52" s="40" t="str">
        <f>IF(D52="","",IF(COUNTIF(D:D,D52)&gt;1,"DUPLICATE PLAYER",IF(D51="","NO OPPONENT",IF(D51=U52,"REPEAT MATCHUP",IF(H52=H51,"SAME TEAM","")))))</f>
        <v/>
      </c>
      <c r="Z52" s="40"/>
      <c r="AA52" t="str">
        <f>IF(Y52="NO OPPONENT","",IF(Y52&lt;&gt;"",CONCATENATE("Previous Matchup Player #: ",VLOOKUP(D52,'Tournament Details'!$C:$X,22,FALSE)),""))</f>
        <v/>
      </c>
    </row>
    <row r="53" spans="1:27" ht="15" customHeight="1" thickBot="1" x14ac:dyDescent="0.35">
      <c r="A53" s="224" t="str">
        <f>IF('Tournament Details'!A1&gt;=1,IF(LARGE('Tournament Details'!C7:C86,1)&gt;=52,26,""),"")</f>
        <v/>
      </c>
      <c r="B53" s="42">
        <f t="shared" si="5"/>
        <v>0</v>
      </c>
      <c r="C53" s="44" t="str">
        <f t="shared" si="4"/>
        <v/>
      </c>
      <c r="D53" s="66" t="str">
        <f>IF('Tournament Details'!A1&gt;=1,IF('Tournament Details'!C57&lt;=LARGE('Round 1'!$C:$C,1),VLOOKUP(SMALL('Round 1'!$C:$C,51),'Round 1'!$C:$D,2,FALSE),""),"")</f>
        <v/>
      </c>
      <c r="E53" s="44" t="str">
        <f>IF(D53="","",B53+VLOOKUP(D53,'Round 1'!$D:$E,2,FALSE))</f>
        <v/>
      </c>
      <c r="F53" s="44" t="str">
        <f>IF(D53="","",(LARGE('Tournament Details'!$C:$C,1)+1-D53)+E53)</f>
        <v/>
      </c>
      <c r="G53" s="23" t="str">
        <f>D54</f>
        <v/>
      </c>
      <c r="H53" s="25" t="str">
        <f>IF(D53="","",IF(VLOOKUP(D53,'Tournament Details'!$C:$G,5,FALSE)="",D53,VLOOKUP(D53,'Tournament Details'!$C:$G,5,FALSE)))</f>
        <v/>
      </c>
      <c r="I53" s="7" t="str">
        <f>IF(D53=0,"",IF(VLOOKUP(D53,'Tournament Details'!$C:$E,3,FALSE)&gt;0,VLOOKUP(D53,'Tournament Details'!$C:$E,3,FALSE),""))</f>
        <v/>
      </c>
      <c r="J53" s="123"/>
      <c r="K53" s="123"/>
      <c r="L53" s="23"/>
      <c r="M53" s="23"/>
      <c r="N53" s="23"/>
      <c r="O53" s="23"/>
      <c r="P53" s="186">
        <v>0</v>
      </c>
      <c r="Q53" s="183">
        <f t="shared" si="6"/>
        <v>0</v>
      </c>
      <c r="R53" s="135" t="str">
        <f t="shared" si="7"/>
        <v/>
      </c>
      <c r="S53" s="135" t="str">
        <f>IF(Q53="","",IF(Q53+Q54&lt;&gt;20,IF(Q53+Q54&lt;&gt;0,"!",""),""))</f>
        <v/>
      </c>
      <c r="T53" s="21" t="str">
        <f t="shared" si="8"/>
        <v/>
      </c>
      <c r="U53" s="132">
        <f>IF(D53="",0,VLOOKUP(D53,'Tournament Details'!$C:$X,22,FALSE))</f>
        <v>0</v>
      </c>
      <c r="V53" s="132">
        <f>IF(D53="",0,VLOOKUP(D53,'Tournament Details'!$C:$Y,23,FALSE))</f>
        <v>0</v>
      </c>
      <c r="W53" s="132">
        <f>IF(D53="",0,VLOOKUP(D53,'Tournament Details'!$C:$Z,24,FALSE))</f>
        <v>0</v>
      </c>
      <c r="X53" s="132">
        <f>IF(D53="",0,VLOOKUP(D53,'Tournament Details'!$C:$AA,25,FALSE))</f>
        <v>0</v>
      </c>
      <c r="Y53" s="40" t="str">
        <f>IF(D53="","",IF(COUNTIF(D:D,D53)&gt;1,"DUPLICATE PLAYER",IF(D54="","NO OPPONENT",IF(D54=U53,"REPEAT MATCHUP",IF(H53=H54,"SAME TEAM","")))))</f>
        <v/>
      </c>
      <c r="Z53" s="40"/>
      <c r="AA53" t="str">
        <f>IF(Y53="NO OPPONENT","",IF(Y53&lt;&gt;"",CONCATENATE("Previous Matchup Player #: ",VLOOKUP(D53,'Tournament Details'!$C:$X,22,FALSE)),""))</f>
        <v/>
      </c>
    </row>
    <row r="54" spans="1:27" ht="15" customHeight="1" thickBot="1" x14ac:dyDescent="0.35">
      <c r="A54" s="224"/>
      <c r="B54" s="43">
        <f t="shared" si="5"/>
        <v>0</v>
      </c>
      <c r="C54" s="44" t="str">
        <f t="shared" si="4"/>
        <v/>
      </c>
      <c r="D54" s="74" t="str">
        <f>IF('Tournament Details'!A1&gt;=1,IF('Tournament Details'!C58&lt;=LARGE('Round 1'!$C:$C,1),VLOOKUP(SMALL('Round 1'!$C:$C,52),'Round 1'!$C:$D,2,FALSE),""),"")</f>
        <v/>
      </c>
      <c r="E54" s="44" t="str">
        <f>IF(D54="","",B54+VLOOKUP(D54,'Round 1'!$D:$E,2,FALSE))</f>
        <v/>
      </c>
      <c r="F54" s="44" t="str">
        <f>IF(D54="","",(LARGE('Tournament Details'!$C:$C,1)+1-D54)+E54)</f>
        <v/>
      </c>
      <c r="G54" s="24" t="str">
        <f>D53</f>
        <v/>
      </c>
      <c r="H54" s="26" t="str">
        <f>IF(D54="","",IF(VLOOKUP(D54,'Tournament Details'!$C:$G,5,FALSE)="",D54,VLOOKUP(D54,'Tournament Details'!$C:$G,5,FALSE)))</f>
        <v/>
      </c>
      <c r="I54" s="12" t="str">
        <f>IF(D54=0,"",IF(VLOOKUP(D54,'Tournament Details'!$C:$E,3,FALSE)&gt;0,VLOOKUP(D54,'Tournament Details'!$C:$E,3,FALSE),""))</f>
        <v/>
      </c>
      <c r="J54" s="124"/>
      <c r="K54" s="124"/>
      <c r="L54" s="23"/>
      <c r="M54" s="24"/>
      <c r="N54" s="24"/>
      <c r="O54" s="24"/>
      <c r="P54" s="187">
        <v>0</v>
      </c>
      <c r="Q54" s="183">
        <f t="shared" si="6"/>
        <v>0</v>
      </c>
      <c r="R54" s="135" t="str">
        <f t="shared" si="7"/>
        <v/>
      </c>
      <c r="S54" s="135" t="str">
        <f>IF(Q54="","",IF(Q53+Q54&lt;&gt;20,IF(Q53+Q54&lt;&gt;0,"!",""),""))</f>
        <v/>
      </c>
      <c r="T54" s="21" t="str">
        <f t="shared" si="8"/>
        <v/>
      </c>
      <c r="U54" s="132">
        <f>IF(D54="",0,VLOOKUP(D54,'Tournament Details'!$C:$X,22,FALSE))</f>
        <v>0</v>
      </c>
      <c r="V54" s="132">
        <f>IF(D54="",0,VLOOKUP(D54,'Tournament Details'!$C:$Y,23,FALSE))</f>
        <v>0</v>
      </c>
      <c r="W54" s="132">
        <f>IF(D54="",0,VLOOKUP(D54,'Tournament Details'!$C:$Z,24,FALSE))</f>
        <v>0</v>
      </c>
      <c r="X54" s="132">
        <f>IF(D54="",0,VLOOKUP(D54,'Tournament Details'!$C:$AA,25,FALSE))</f>
        <v>0</v>
      </c>
      <c r="Y54" s="40" t="str">
        <f>IF(D54="","",IF(COUNTIF(D:D,D54)&gt;1,"DUPLICATE PLAYER",IF(D53="","NO OPPONENT",IF(D53=U54,"REPEAT MATCHUP",IF(H54=H53,"SAME TEAM","")))))</f>
        <v/>
      </c>
      <c r="Z54" s="40"/>
      <c r="AA54" t="str">
        <f>IF(Y54="NO OPPONENT","",IF(Y54&lt;&gt;"",CONCATENATE("Previous Matchup Player #: ",VLOOKUP(D54,'Tournament Details'!$C:$X,22,FALSE)),""))</f>
        <v/>
      </c>
    </row>
    <row r="55" spans="1:27" ht="15" customHeight="1" thickBot="1" x14ac:dyDescent="0.35">
      <c r="A55" s="224" t="str">
        <f>IF('Tournament Details'!A1&gt;=1,IF(LARGE('Tournament Details'!C7:C86,1)&gt;=54,27,""),"")</f>
        <v/>
      </c>
      <c r="B55" s="42">
        <f t="shared" si="5"/>
        <v>0</v>
      </c>
      <c r="C55" s="44" t="str">
        <f t="shared" si="4"/>
        <v/>
      </c>
      <c r="D55" s="66" t="str">
        <f>IF('Tournament Details'!A1&gt;=1,IF('Tournament Details'!C59&lt;=LARGE('Round 1'!$C:$C,1),VLOOKUP(SMALL('Round 1'!$C:$C,53),'Round 1'!$C:$D,2,FALSE),""),"")</f>
        <v/>
      </c>
      <c r="E55" s="44" t="str">
        <f>IF(D55="","",B55+VLOOKUP(D55,'Round 1'!$D:$E,2,FALSE))</f>
        <v/>
      </c>
      <c r="F55" s="44" t="str">
        <f>IF(D55="","",(LARGE('Tournament Details'!$C:$C,1)+1-D55)+E55)</f>
        <v/>
      </c>
      <c r="G55" s="23" t="str">
        <f>D56</f>
        <v/>
      </c>
      <c r="H55" s="25" t="str">
        <f>IF(D55="","",IF(VLOOKUP(D55,'Tournament Details'!$C:$G,5,FALSE)="",D55,VLOOKUP(D55,'Tournament Details'!$C:$G,5,FALSE)))</f>
        <v/>
      </c>
      <c r="I55" s="7" t="str">
        <f>IF(D55=0,"",IF(VLOOKUP(D55,'Tournament Details'!$C:$E,3,FALSE)&gt;0,VLOOKUP(D55,'Tournament Details'!$C:$E,3,FALSE),""))</f>
        <v/>
      </c>
      <c r="J55" s="123"/>
      <c r="K55" s="123"/>
      <c r="L55" s="23"/>
      <c r="M55" s="23"/>
      <c r="N55" s="23"/>
      <c r="O55" s="23"/>
      <c r="P55" s="186">
        <v>0</v>
      </c>
      <c r="Q55" s="183">
        <f t="shared" si="6"/>
        <v>0</v>
      </c>
      <c r="R55" s="135" t="str">
        <f t="shared" si="7"/>
        <v/>
      </c>
      <c r="S55" s="135" t="str">
        <f>IF(Q55="","",IF(Q55+Q56&lt;&gt;20,IF(Q55+Q56&lt;&gt;0,"!",""),""))</f>
        <v/>
      </c>
      <c r="T55" s="21" t="str">
        <f t="shared" si="8"/>
        <v/>
      </c>
      <c r="U55" s="132">
        <f>IF(D55="",0,VLOOKUP(D55,'Tournament Details'!$C:$X,22,FALSE))</f>
        <v>0</v>
      </c>
      <c r="V55" s="132">
        <f>IF(D55="",0,VLOOKUP(D55,'Tournament Details'!$C:$Y,23,FALSE))</f>
        <v>0</v>
      </c>
      <c r="W55" s="132">
        <f>IF(D55="",0,VLOOKUP(D55,'Tournament Details'!$C:$Z,24,FALSE))</f>
        <v>0</v>
      </c>
      <c r="X55" s="132">
        <f>IF(D55="",0,VLOOKUP(D55,'Tournament Details'!$C:$AA,25,FALSE))</f>
        <v>0</v>
      </c>
      <c r="Y55" s="40" t="str">
        <f>IF(D55="","",IF(COUNTIF(D:D,D55)&gt;1,"DUPLICATE PLAYER",IF(D56="","NO OPPONENT",IF(D56=U55,"REPEAT MATCHUP",IF(H55=H56,"SAME TEAM","")))))</f>
        <v/>
      </c>
      <c r="Z55" s="40"/>
      <c r="AA55" t="str">
        <f>IF(Y55="NO OPPONENT","",IF(Y55&lt;&gt;"",CONCATENATE("Previous Matchup Player #: ",VLOOKUP(D55,'Tournament Details'!$C:$X,22,FALSE)),""))</f>
        <v/>
      </c>
    </row>
    <row r="56" spans="1:27" ht="15" customHeight="1" thickBot="1" x14ac:dyDescent="0.35">
      <c r="A56" s="224"/>
      <c r="B56" s="43">
        <f t="shared" si="5"/>
        <v>0</v>
      </c>
      <c r="C56" s="44" t="str">
        <f t="shared" si="4"/>
        <v/>
      </c>
      <c r="D56" s="74" t="str">
        <f>IF('Tournament Details'!A1&gt;=1,IF('Tournament Details'!C60&lt;=LARGE('Round 1'!$C:$C,1),VLOOKUP(SMALL('Round 1'!$C:$C,54),'Round 1'!$C:$D,2,FALSE),""),"")</f>
        <v/>
      </c>
      <c r="E56" s="44" t="str">
        <f>IF(D56="","",B56+VLOOKUP(D56,'Round 1'!$D:$E,2,FALSE))</f>
        <v/>
      </c>
      <c r="F56" s="44" t="str">
        <f>IF(D56="","",(LARGE('Tournament Details'!$C:$C,1)+1-D56)+E56)</f>
        <v/>
      </c>
      <c r="G56" s="24" t="str">
        <f>D55</f>
        <v/>
      </c>
      <c r="H56" s="26" t="str">
        <f>IF(D56="","",IF(VLOOKUP(D56,'Tournament Details'!$C:$G,5,FALSE)="",D56,VLOOKUP(D56,'Tournament Details'!$C:$G,5,FALSE)))</f>
        <v/>
      </c>
      <c r="I56" s="12" t="str">
        <f>IF(D56=0,"",IF(VLOOKUP(D56,'Tournament Details'!$C:$E,3,FALSE)&gt;0,VLOOKUP(D56,'Tournament Details'!$C:$E,3,FALSE),""))</f>
        <v/>
      </c>
      <c r="J56" s="124"/>
      <c r="K56" s="124"/>
      <c r="L56" s="23"/>
      <c r="M56" s="24"/>
      <c r="N56" s="24"/>
      <c r="O56" s="24"/>
      <c r="P56" s="187">
        <v>0</v>
      </c>
      <c r="Q56" s="183">
        <f t="shared" si="6"/>
        <v>0</v>
      </c>
      <c r="R56" s="135" t="str">
        <f t="shared" si="7"/>
        <v/>
      </c>
      <c r="S56" s="135" t="str">
        <f>IF(Q56="","",IF(Q55+Q56&lt;&gt;20,IF(Q55+Q56&lt;&gt;0,"!",""),""))</f>
        <v/>
      </c>
      <c r="T56" s="21" t="str">
        <f t="shared" si="8"/>
        <v/>
      </c>
      <c r="U56" s="132">
        <f>IF(D56="",0,VLOOKUP(D56,'Tournament Details'!$C:$X,22,FALSE))</f>
        <v>0</v>
      </c>
      <c r="V56" s="132">
        <f>IF(D56="",0,VLOOKUP(D56,'Tournament Details'!$C:$Y,23,FALSE))</f>
        <v>0</v>
      </c>
      <c r="W56" s="132">
        <f>IF(D56="",0,VLOOKUP(D56,'Tournament Details'!$C:$Z,24,FALSE))</f>
        <v>0</v>
      </c>
      <c r="X56" s="132">
        <f>IF(D56="",0,VLOOKUP(D56,'Tournament Details'!$C:$AA,25,FALSE))</f>
        <v>0</v>
      </c>
      <c r="Y56" s="40" t="str">
        <f>IF(D56="","",IF(COUNTIF(D:D,D56)&gt;1,"DUPLICATE PLAYER",IF(D55="","NO OPPONENT",IF(D55=U56,"REPEAT MATCHUP",IF(H56=H55,"SAME TEAM","")))))</f>
        <v/>
      </c>
      <c r="Z56" s="40"/>
      <c r="AA56" t="str">
        <f>IF(Y56="NO OPPONENT","",IF(Y56&lt;&gt;"",CONCATENATE("Previous Matchup Player #: ",VLOOKUP(D56,'Tournament Details'!$C:$X,22,FALSE)),""))</f>
        <v/>
      </c>
    </row>
    <row r="57" spans="1:27" ht="15" customHeight="1" thickBot="1" x14ac:dyDescent="0.35">
      <c r="A57" s="224" t="str">
        <f>IF('Tournament Details'!A1&gt;=1,IF(LARGE('Tournament Details'!C7:C86,1)&gt;=56,28,""),"")</f>
        <v/>
      </c>
      <c r="B57" s="42">
        <f t="shared" si="5"/>
        <v>0</v>
      </c>
      <c r="C57" s="44" t="str">
        <f t="shared" si="4"/>
        <v/>
      </c>
      <c r="D57" s="66" t="str">
        <f>IF('Tournament Details'!A1&gt;=1,IF('Tournament Details'!C61&lt;=LARGE('Round 1'!$C:$C,1),VLOOKUP(SMALL('Round 1'!$C:$C,55),'Round 1'!$C:$D,2,FALSE),""),"")</f>
        <v/>
      </c>
      <c r="E57" s="44" t="str">
        <f>IF(D57="","",B57+VLOOKUP(D57,'Round 1'!$D:$E,2,FALSE))</f>
        <v/>
      </c>
      <c r="F57" s="44" t="str">
        <f>IF(D57="","",(LARGE('Tournament Details'!$C:$C,1)+1-D57)+E57)</f>
        <v/>
      </c>
      <c r="G57" s="23" t="str">
        <f>D58</f>
        <v/>
      </c>
      <c r="H57" s="25" t="str">
        <f>IF(D57="","",IF(VLOOKUP(D57,'Tournament Details'!$C:$G,5,FALSE)="",D57,VLOOKUP(D57,'Tournament Details'!$C:$G,5,FALSE)))</f>
        <v/>
      </c>
      <c r="I57" s="7" t="str">
        <f>IF(D57=0,"",IF(VLOOKUP(D57,'Tournament Details'!$C:$E,3,FALSE)&gt;0,VLOOKUP(D57,'Tournament Details'!$C:$E,3,FALSE),""))</f>
        <v/>
      </c>
      <c r="J57" s="123"/>
      <c r="K57" s="123"/>
      <c r="L57" s="23"/>
      <c r="M57" s="23"/>
      <c r="N57" s="23"/>
      <c r="O57" s="23"/>
      <c r="P57" s="186">
        <v>0</v>
      </c>
      <c r="Q57" s="183">
        <f t="shared" si="6"/>
        <v>0</v>
      </c>
      <c r="R57" s="135" t="str">
        <f t="shared" si="7"/>
        <v/>
      </c>
      <c r="S57" s="135" t="str">
        <f>IF(Q57="","",IF(Q57+Q58&lt;&gt;20,IF(Q57+Q58&lt;&gt;0,"!",""),""))</f>
        <v/>
      </c>
      <c r="T57" s="21" t="str">
        <f t="shared" si="8"/>
        <v/>
      </c>
      <c r="U57" s="132">
        <f>IF(D57="",0,VLOOKUP(D57,'Tournament Details'!$C:$X,22,FALSE))</f>
        <v>0</v>
      </c>
      <c r="V57" s="132">
        <f>IF(D57="",0,VLOOKUP(D57,'Tournament Details'!$C:$Y,23,FALSE))</f>
        <v>0</v>
      </c>
      <c r="W57" s="132">
        <f>IF(D57="",0,VLOOKUP(D57,'Tournament Details'!$C:$Z,24,FALSE))</f>
        <v>0</v>
      </c>
      <c r="X57" s="132">
        <f>IF(D57="",0,VLOOKUP(D57,'Tournament Details'!$C:$AA,25,FALSE))</f>
        <v>0</v>
      </c>
      <c r="Y57" s="40" t="str">
        <f>IF(D57="","",IF(COUNTIF(D:D,D57)&gt;1,"DUPLICATE PLAYER",IF(D58="","NO OPPONENT",IF(D58=U57,"REPEAT MATCHUP",IF(H57=H58,"SAME TEAM","")))))</f>
        <v/>
      </c>
      <c r="Z57" s="40"/>
      <c r="AA57" t="str">
        <f>IF(Y57="NO OPPONENT","",IF(Y57&lt;&gt;"",CONCATENATE("Previous Matchup Player #: ",VLOOKUP(D57,'Tournament Details'!$C:$X,22,FALSE)),""))</f>
        <v/>
      </c>
    </row>
    <row r="58" spans="1:27" ht="15" customHeight="1" thickBot="1" x14ac:dyDescent="0.35">
      <c r="A58" s="224"/>
      <c r="B58" s="43">
        <f t="shared" si="5"/>
        <v>0</v>
      </c>
      <c r="C58" s="44" t="str">
        <f t="shared" si="4"/>
        <v/>
      </c>
      <c r="D58" s="74" t="str">
        <f>IF('Tournament Details'!A1&gt;=1,IF('Tournament Details'!C62&lt;=LARGE('Round 1'!$C:$C,1),VLOOKUP(SMALL('Round 1'!$C:$C,56),'Round 1'!$C:$D,2,FALSE),""),"")</f>
        <v/>
      </c>
      <c r="E58" s="44" t="str">
        <f>IF(D58="","",B58+VLOOKUP(D58,'Round 1'!$D:$E,2,FALSE))</f>
        <v/>
      </c>
      <c r="F58" s="44" t="str">
        <f>IF(D58="","",(LARGE('Tournament Details'!$C:$C,1)+1-D58)+E58)</f>
        <v/>
      </c>
      <c r="G58" s="24" t="str">
        <f>D57</f>
        <v/>
      </c>
      <c r="H58" s="26" t="str">
        <f>IF(D58="","",IF(VLOOKUP(D58,'Tournament Details'!$C:$G,5,FALSE)="",D58,VLOOKUP(D58,'Tournament Details'!$C:$G,5,FALSE)))</f>
        <v/>
      </c>
      <c r="I58" s="12" t="str">
        <f>IF(D58=0,"",IF(VLOOKUP(D58,'Tournament Details'!$C:$E,3,FALSE)&gt;0,VLOOKUP(D58,'Tournament Details'!$C:$E,3,FALSE),""))</f>
        <v/>
      </c>
      <c r="J58" s="124"/>
      <c r="K58" s="124"/>
      <c r="L58" s="23"/>
      <c r="M58" s="24"/>
      <c r="N58" s="24"/>
      <c r="O58" s="24"/>
      <c r="P58" s="187">
        <v>0</v>
      </c>
      <c r="Q58" s="183">
        <f t="shared" si="6"/>
        <v>0</v>
      </c>
      <c r="R58" s="135" t="str">
        <f t="shared" si="7"/>
        <v/>
      </c>
      <c r="S58" s="135" t="str">
        <f>IF(Q58="","",IF(Q57+Q58&lt;&gt;20,IF(Q57+Q58&lt;&gt;0,"!",""),""))</f>
        <v/>
      </c>
      <c r="T58" s="21" t="str">
        <f t="shared" si="8"/>
        <v/>
      </c>
      <c r="U58" s="132">
        <f>IF(D58="",0,VLOOKUP(D58,'Tournament Details'!$C:$X,22,FALSE))</f>
        <v>0</v>
      </c>
      <c r="V58" s="132">
        <f>IF(D58="",0,VLOOKUP(D58,'Tournament Details'!$C:$Y,23,FALSE))</f>
        <v>0</v>
      </c>
      <c r="W58" s="132">
        <f>IF(D58="",0,VLOOKUP(D58,'Tournament Details'!$C:$Z,24,FALSE))</f>
        <v>0</v>
      </c>
      <c r="X58" s="132">
        <f>IF(D58="",0,VLOOKUP(D58,'Tournament Details'!$C:$AA,25,FALSE))</f>
        <v>0</v>
      </c>
      <c r="Y58" s="40" t="str">
        <f>IF(D58="","",IF(COUNTIF(D:D,D58)&gt;1,"DUPLICATE PLAYER",IF(D57="","NO OPPONENT",IF(D57=U58,"REPEAT MATCHUP",IF(H58=H57,"SAME TEAM","")))))</f>
        <v/>
      </c>
      <c r="Z58" s="40"/>
      <c r="AA58" t="str">
        <f>IF(Y58="NO OPPONENT","",IF(Y58&lt;&gt;"",CONCATENATE("Previous Matchup Player #: ",VLOOKUP(D58,'Tournament Details'!$C:$X,22,FALSE)),""))</f>
        <v/>
      </c>
    </row>
    <row r="59" spans="1:27" ht="15" customHeight="1" thickBot="1" x14ac:dyDescent="0.35">
      <c r="A59" s="224" t="str">
        <f>IF('Tournament Details'!A1&gt;=1,IF(LARGE('Tournament Details'!C7:C86,1)&gt;=58,29,""),"")</f>
        <v/>
      </c>
      <c r="B59" s="42">
        <f t="shared" si="5"/>
        <v>0</v>
      </c>
      <c r="C59" s="44" t="str">
        <f t="shared" si="4"/>
        <v/>
      </c>
      <c r="D59" s="66" t="str">
        <f>IF('Tournament Details'!A1&gt;=1,IF('Tournament Details'!C63&lt;=LARGE('Round 1'!$C:$C,1),VLOOKUP(SMALL('Round 1'!$C:$C,57),'Round 1'!$C:$D,2,FALSE),""),"")</f>
        <v/>
      </c>
      <c r="E59" s="44" t="str">
        <f>IF(D59="","",B59+VLOOKUP(D59,'Round 1'!$D:$E,2,FALSE))</f>
        <v/>
      </c>
      <c r="F59" s="44" t="str">
        <f>IF(D59="","",(LARGE('Tournament Details'!$C:$C,1)+1-D59)+E59)</f>
        <v/>
      </c>
      <c r="G59" s="23" t="str">
        <f>D60</f>
        <v/>
      </c>
      <c r="H59" s="25" t="str">
        <f>IF(D59="","",IF(VLOOKUP(D59,'Tournament Details'!$C:$G,5,FALSE)="",D59,VLOOKUP(D59,'Tournament Details'!$C:$G,5,FALSE)))</f>
        <v/>
      </c>
      <c r="I59" s="7" t="str">
        <f>IF(D59=0,"",IF(VLOOKUP(D59,'Tournament Details'!$C:$E,3,FALSE)&gt;0,VLOOKUP(D59,'Tournament Details'!$C:$E,3,FALSE),""))</f>
        <v/>
      </c>
      <c r="J59" s="123"/>
      <c r="K59" s="123"/>
      <c r="L59" s="23"/>
      <c r="M59" s="23"/>
      <c r="N59" s="23"/>
      <c r="O59" s="23"/>
      <c r="P59" s="186">
        <v>0</v>
      </c>
      <c r="Q59" s="183">
        <f t="shared" si="6"/>
        <v>0</v>
      </c>
      <c r="R59" s="135" t="str">
        <f t="shared" si="7"/>
        <v/>
      </c>
      <c r="S59" s="135" t="str">
        <f>IF(Q59="","",IF(Q59+Q60&lt;&gt;20,IF(Q59+Q60&lt;&gt;0,"!",""),""))</f>
        <v/>
      </c>
      <c r="T59" s="21" t="str">
        <f t="shared" si="8"/>
        <v/>
      </c>
      <c r="U59" s="132">
        <f>IF(D59="",0,VLOOKUP(D59,'Tournament Details'!$C:$X,22,FALSE))</f>
        <v>0</v>
      </c>
      <c r="V59" s="132">
        <f>IF(D59="",0,VLOOKUP(D59,'Tournament Details'!$C:$Y,23,FALSE))</f>
        <v>0</v>
      </c>
      <c r="W59" s="132">
        <f>IF(D59="",0,VLOOKUP(D59,'Tournament Details'!$C:$Z,24,FALSE))</f>
        <v>0</v>
      </c>
      <c r="X59" s="132">
        <f>IF(D59="",0,VLOOKUP(D59,'Tournament Details'!$C:$AA,25,FALSE))</f>
        <v>0</v>
      </c>
      <c r="Y59" s="40" t="str">
        <f>IF(D59="","",IF(COUNTIF(D:D,D59)&gt;1,"DUPLICATE PLAYER",IF(D60="","NO OPPONENT",IF(D60=U59,"REPEAT MATCHUP",IF(H59=H60,"SAME TEAM","")))))</f>
        <v/>
      </c>
      <c r="Z59" s="40"/>
      <c r="AA59" t="str">
        <f>IF(Y59="NO OPPONENT","",IF(Y59&lt;&gt;"",CONCATENATE("Previous Matchup Player #: ",VLOOKUP(D59,'Tournament Details'!$C:$X,22,FALSE)),""))</f>
        <v/>
      </c>
    </row>
    <row r="60" spans="1:27" ht="15" customHeight="1" thickBot="1" x14ac:dyDescent="0.35">
      <c r="A60" s="224"/>
      <c r="B60" s="43">
        <f t="shared" si="5"/>
        <v>0</v>
      </c>
      <c r="C60" s="44" t="str">
        <f t="shared" si="4"/>
        <v/>
      </c>
      <c r="D60" s="74" t="str">
        <f>IF('Tournament Details'!A1&gt;=1,IF('Tournament Details'!C64&lt;=LARGE('Round 1'!$C:$C,1),VLOOKUP(SMALL('Round 1'!$C:$C,58),'Round 1'!$C:$D,2,FALSE),""),"")</f>
        <v/>
      </c>
      <c r="E60" s="44" t="str">
        <f>IF(D60="","",B60+VLOOKUP(D60,'Round 1'!$D:$E,2,FALSE))</f>
        <v/>
      </c>
      <c r="F60" s="44" t="str">
        <f>IF(D60="","",(LARGE('Tournament Details'!$C:$C,1)+1-D60)+E60)</f>
        <v/>
      </c>
      <c r="G60" s="24" t="str">
        <f>D59</f>
        <v/>
      </c>
      <c r="H60" s="26" t="str">
        <f>IF(D60="","",IF(VLOOKUP(D60,'Tournament Details'!$C:$G,5,FALSE)="",D60,VLOOKUP(D60,'Tournament Details'!$C:$G,5,FALSE)))</f>
        <v/>
      </c>
      <c r="I60" s="12" t="str">
        <f>IF(D60=0,"",IF(VLOOKUP(D60,'Tournament Details'!$C:$E,3,FALSE)&gt;0,VLOOKUP(D60,'Tournament Details'!$C:$E,3,FALSE),""))</f>
        <v/>
      </c>
      <c r="J60" s="124"/>
      <c r="K60" s="124"/>
      <c r="L60" s="23"/>
      <c r="M60" s="24"/>
      <c r="N60" s="24"/>
      <c r="O60" s="24"/>
      <c r="P60" s="187">
        <v>0</v>
      </c>
      <c r="Q60" s="183">
        <f t="shared" si="6"/>
        <v>0</v>
      </c>
      <c r="R60" s="135" t="str">
        <f t="shared" si="7"/>
        <v/>
      </c>
      <c r="S60" s="135" t="str">
        <f>IF(Q60="","",IF(Q59+Q60&lt;&gt;20,IF(Q59+Q60&lt;&gt;0,"!",""),""))</f>
        <v/>
      </c>
      <c r="T60" s="21" t="str">
        <f t="shared" si="8"/>
        <v/>
      </c>
      <c r="U60" s="132">
        <f>IF(D60="",0,VLOOKUP(D60,'Tournament Details'!$C:$X,22,FALSE))</f>
        <v>0</v>
      </c>
      <c r="V60" s="132">
        <f>IF(D60="",0,VLOOKUP(D60,'Tournament Details'!$C:$Y,23,FALSE))</f>
        <v>0</v>
      </c>
      <c r="W60" s="132">
        <f>IF(D60="",0,VLOOKUP(D60,'Tournament Details'!$C:$Z,24,FALSE))</f>
        <v>0</v>
      </c>
      <c r="X60" s="132">
        <f>IF(D60="",0,VLOOKUP(D60,'Tournament Details'!$C:$AA,25,FALSE))</f>
        <v>0</v>
      </c>
      <c r="Y60" s="40" t="str">
        <f>IF(D60="","",IF(COUNTIF(D:D,D60)&gt;1,"DUPLICATE PLAYER",IF(D59="","NO OPPONENT",IF(D59=U60,"REPEAT MATCHUP",IF(H60=H59,"SAME TEAM","")))))</f>
        <v/>
      </c>
      <c r="Z60" s="40"/>
      <c r="AA60" t="str">
        <f>IF(Y60="NO OPPONENT","",IF(Y60&lt;&gt;"",CONCATENATE("Previous Matchup Player #: ",VLOOKUP(D60,'Tournament Details'!$C:$X,22,FALSE)),""))</f>
        <v/>
      </c>
    </row>
    <row r="61" spans="1:27" ht="15" customHeight="1" thickBot="1" x14ac:dyDescent="0.35">
      <c r="A61" s="224" t="str">
        <f>IF('Tournament Details'!A1&gt;=1,IF(LARGE('Tournament Details'!C7:C86,1)&gt;=60,30,""),"")</f>
        <v/>
      </c>
      <c r="B61" s="42">
        <f t="shared" si="5"/>
        <v>0</v>
      </c>
      <c r="C61" s="44" t="str">
        <f t="shared" si="4"/>
        <v/>
      </c>
      <c r="D61" s="66" t="str">
        <f>IF('Tournament Details'!A1&gt;=1,IF('Tournament Details'!C65&lt;=LARGE('Round 1'!$C:$C,1),VLOOKUP(SMALL('Round 1'!$C:$C,59),'Round 1'!$C:$D,2,FALSE),""),"")</f>
        <v/>
      </c>
      <c r="E61" s="44" t="str">
        <f>IF(D61="","",B61+VLOOKUP(D61,'Round 1'!$D:$E,2,FALSE))</f>
        <v/>
      </c>
      <c r="F61" s="44" t="str">
        <f>IF(D61="","",(LARGE('Tournament Details'!$C:$C,1)+1-D61)+E61)</f>
        <v/>
      </c>
      <c r="G61" s="23" t="str">
        <f>D62</f>
        <v/>
      </c>
      <c r="H61" s="25" t="str">
        <f>IF(D61="","",IF(VLOOKUP(D61,'Tournament Details'!$C:$G,5,FALSE)="",D61,VLOOKUP(D61,'Tournament Details'!$C:$G,5,FALSE)))</f>
        <v/>
      </c>
      <c r="I61" s="7" t="str">
        <f>IF(D61=0,"",IF(VLOOKUP(D61,'Tournament Details'!$C:$E,3,FALSE)&gt;0,VLOOKUP(D61,'Tournament Details'!$C:$E,3,FALSE),""))</f>
        <v/>
      </c>
      <c r="J61" s="123"/>
      <c r="K61" s="123"/>
      <c r="L61" s="23"/>
      <c r="M61" s="23"/>
      <c r="N61" s="23"/>
      <c r="O61" s="23"/>
      <c r="P61" s="186">
        <v>0</v>
      </c>
      <c r="Q61" s="183">
        <f t="shared" si="6"/>
        <v>0</v>
      </c>
      <c r="R61" s="135" t="str">
        <f t="shared" si="7"/>
        <v/>
      </c>
      <c r="S61" s="135" t="str">
        <f>IF(Q61="","",IF(Q61+Q62&lt;&gt;20,IF(Q61+Q62&lt;&gt;0,"!",""),""))</f>
        <v/>
      </c>
      <c r="T61" s="21" t="str">
        <f t="shared" si="8"/>
        <v/>
      </c>
      <c r="U61" s="132">
        <f>IF(D61="",0,VLOOKUP(D61,'Tournament Details'!$C:$X,22,FALSE))</f>
        <v>0</v>
      </c>
      <c r="V61" s="132">
        <f>IF(D61="",0,VLOOKUP(D61,'Tournament Details'!$C:$Y,23,FALSE))</f>
        <v>0</v>
      </c>
      <c r="W61" s="132">
        <f>IF(D61="",0,VLOOKUP(D61,'Tournament Details'!$C:$Z,24,FALSE))</f>
        <v>0</v>
      </c>
      <c r="X61" s="132">
        <f>IF(D61="",0,VLOOKUP(D61,'Tournament Details'!$C:$AA,25,FALSE))</f>
        <v>0</v>
      </c>
      <c r="Y61" s="40" t="str">
        <f>IF(D61="","",IF(COUNTIF(D:D,D61)&gt;1,"DUPLICATE PLAYER",IF(D62="","NO OPPONENT",IF(D62=U61,"REPEAT MATCHUP",IF(H61=H62,"SAME TEAM","")))))</f>
        <v/>
      </c>
      <c r="Z61" s="40"/>
      <c r="AA61" t="str">
        <f>IF(Y61="NO OPPONENT","",IF(Y61&lt;&gt;"",CONCATENATE("Previous Matchup Player #: ",VLOOKUP(D61,'Tournament Details'!$C:$X,22,FALSE)),""))</f>
        <v/>
      </c>
    </row>
    <row r="62" spans="1:27" ht="15" customHeight="1" thickBot="1" x14ac:dyDescent="0.35">
      <c r="A62" s="224"/>
      <c r="B62" s="43">
        <f t="shared" si="5"/>
        <v>0</v>
      </c>
      <c r="C62" s="44" t="str">
        <f t="shared" si="4"/>
        <v/>
      </c>
      <c r="D62" s="74" t="str">
        <f>IF('Tournament Details'!A1&gt;=1,IF('Tournament Details'!C66&lt;=LARGE('Round 1'!$C:$C,1),VLOOKUP(SMALL('Round 1'!$C:$C,60),'Round 1'!$C:$D,2,FALSE),""),"")</f>
        <v/>
      </c>
      <c r="E62" s="44" t="str">
        <f>IF(D62="","",B62+VLOOKUP(D62,'Round 1'!$D:$E,2,FALSE))</f>
        <v/>
      </c>
      <c r="F62" s="44" t="str">
        <f>IF(D62="","",(LARGE('Tournament Details'!$C:$C,1)+1-D62)+E62)</f>
        <v/>
      </c>
      <c r="G62" s="24" t="str">
        <f>D61</f>
        <v/>
      </c>
      <c r="H62" s="26" t="str">
        <f>IF(D62="","",IF(VLOOKUP(D62,'Tournament Details'!$C:$G,5,FALSE)="",D62,VLOOKUP(D62,'Tournament Details'!$C:$G,5,FALSE)))</f>
        <v/>
      </c>
      <c r="I62" s="12" t="str">
        <f>IF(D62=0,"",IF(VLOOKUP(D62,'Tournament Details'!$C:$E,3,FALSE)&gt;0,VLOOKUP(D62,'Tournament Details'!$C:$E,3,FALSE),""))</f>
        <v/>
      </c>
      <c r="J62" s="124"/>
      <c r="K62" s="124"/>
      <c r="L62" s="23"/>
      <c r="M62" s="24"/>
      <c r="N62" s="24"/>
      <c r="O62" s="24"/>
      <c r="P62" s="187">
        <v>0</v>
      </c>
      <c r="Q62" s="183">
        <f t="shared" si="6"/>
        <v>0</v>
      </c>
      <c r="R62" s="135" t="str">
        <f t="shared" si="7"/>
        <v/>
      </c>
      <c r="S62" s="135" t="str">
        <f>IF(Q62="","",IF(Q61+Q62&lt;&gt;20,IF(Q61+Q62&lt;&gt;0,"!",""),""))</f>
        <v/>
      </c>
      <c r="T62" s="21" t="str">
        <f t="shared" si="8"/>
        <v/>
      </c>
      <c r="U62" s="132">
        <f>IF(D62="",0,VLOOKUP(D62,'Tournament Details'!$C:$X,22,FALSE))</f>
        <v>0</v>
      </c>
      <c r="V62" s="132">
        <f>IF(D62="",0,VLOOKUP(D62,'Tournament Details'!$C:$Y,23,FALSE))</f>
        <v>0</v>
      </c>
      <c r="W62" s="132">
        <f>IF(D62="",0,VLOOKUP(D62,'Tournament Details'!$C:$Z,24,FALSE))</f>
        <v>0</v>
      </c>
      <c r="X62" s="132">
        <f>IF(D62="",0,VLOOKUP(D62,'Tournament Details'!$C:$AA,25,FALSE))</f>
        <v>0</v>
      </c>
      <c r="Y62" s="40" t="str">
        <f>IF(D62="","",IF(COUNTIF(D:D,D62)&gt;1,"DUPLICATE PLAYER",IF(D61="","NO OPPONENT",IF(D61=U62,"REPEAT MATCHUP",IF(H62=H61,"SAME TEAM","")))))</f>
        <v/>
      </c>
      <c r="Z62" s="40"/>
      <c r="AA62" t="str">
        <f>IF(Y62="NO OPPONENT","",IF(Y62&lt;&gt;"",CONCATENATE("Previous Matchup Player #: ",VLOOKUP(D62,'Tournament Details'!$C:$X,22,FALSE)),""))</f>
        <v/>
      </c>
    </row>
    <row r="63" spans="1:27" ht="15" customHeight="1" thickBot="1" x14ac:dyDescent="0.35">
      <c r="A63" s="224" t="str">
        <f>IF('Tournament Details'!A1&gt;=1,IF(LARGE('Tournament Details'!C7:C86,1)&gt;=62,31,""),"")</f>
        <v/>
      </c>
      <c r="B63" s="42">
        <f t="shared" si="5"/>
        <v>0</v>
      </c>
      <c r="C63" s="44" t="str">
        <f t="shared" si="4"/>
        <v/>
      </c>
      <c r="D63" s="66" t="str">
        <f>IF('Tournament Details'!A1&gt;=1,IF('Tournament Details'!C67&lt;=LARGE('Round 1'!$C:$C,1),VLOOKUP(SMALL('Round 1'!$C:$C,61),'Round 1'!$C:$D,2,FALSE),""),"")</f>
        <v/>
      </c>
      <c r="E63" s="44" t="str">
        <f>IF(D63="","",B63+VLOOKUP(D63,'Round 1'!$D:$E,2,FALSE))</f>
        <v/>
      </c>
      <c r="F63" s="44" t="str">
        <f>IF(D63="","",(LARGE('Tournament Details'!$C:$C,1)+1-D63)+E63)</f>
        <v/>
      </c>
      <c r="G63" s="23" t="str">
        <f>D64</f>
        <v/>
      </c>
      <c r="H63" s="25" t="str">
        <f>IF(D63="","",IF(VLOOKUP(D63,'Tournament Details'!$C:$G,5,FALSE)="",D63,VLOOKUP(D63,'Tournament Details'!$C:$G,5,FALSE)))</f>
        <v/>
      </c>
      <c r="I63" s="7" t="str">
        <f>IF(D63=0,"",IF(VLOOKUP(D63,'Tournament Details'!$C:$E,3,FALSE)&gt;0,VLOOKUP(D63,'Tournament Details'!$C:$E,3,FALSE),""))</f>
        <v/>
      </c>
      <c r="J63" s="123"/>
      <c r="K63" s="123"/>
      <c r="L63" s="23"/>
      <c r="M63" s="23"/>
      <c r="N63" s="23"/>
      <c r="O63" s="23"/>
      <c r="P63" s="186">
        <v>0</v>
      </c>
      <c r="Q63" s="183">
        <f t="shared" si="6"/>
        <v>0</v>
      </c>
      <c r="R63" s="135" t="str">
        <f t="shared" si="7"/>
        <v/>
      </c>
      <c r="S63" s="135" t="str">
        <f>IF(Q63="","",IF(Q63+Q64&lt;&gt;20,IF(Q63+Q64&lt;&gt;0,"!",""),""))</f>
        <v/>
      </c>
      <c r="T63" s="21" t="str">
        <f t="shared" si="8"/>
        <v/>
      </c>
      <c r="U63" s="132">
        <f>IF(D63="",0,VLOOKUP(D63,'Tournament Details'!$C:$X,22,FALSE))</f>
        <v>0</v>
      </c>
      <c r="V63" s="132">
        <f>IF(D63="",0,VLOOKUP(D63,'Tournament Details'!$C:$Y,23,FALSE))</f>
        <v>0</v>
      </c>
      <c r="W63" s="132">
        <f>IF(D63="",0,VLOOKUP(D63,'Tournament Details'!$C:$Z,24,FALSE))</f>
        <v>0</v>
      </c>
      <c r="X63" s="132">
        <f>IF(D63="",0,VLOOKUP(D63,'Tournament Details'!$C:$AA,25,FALSE))</f>
        <v>0</v>
      </c>
      <c r="Y63" s="40" t="str">
        <f>IF(D63="","",IF(COUNTIF(D:D,D63)&gt;1,"DUPLICATE PLAYER",IF(D64="","NO OPPONENT",IF(D64=U63,"REPEAT MATCHUP",IF(H63=H64,"SAME TEAM","")))))</f>
        <v/>
      </c>
      <c r="Z63" s="40"/>
      <c r="AA63" t="str">
        <f>IF(Y63="NO OPPONENT","",IF(Y63&lt;&gt;"",CONCATENATE("Previous Matchup Player #: ",VLOOKUP(D63,'Tournament Details'!$C:$X,22,FALSE)),""))</f>
        <v/>
      </c>
    </row>
    <row r="64" spans="1:27" ht="15" customHeight="1" thickBot="1" x14ac:dyDescent="0.35">
      <c r="A64" s="224"/>
      <c r="B64" s="43">
        <f t="shared" si="5"/>
        <v>0</v>
      </c>
      <c r="C64" s="44" t="str">
        <f t="shared" si="4"/>
        <v/>
      </c>
      <c r="D64" s="74" t="str">
        <f>IF('Tournament Details'!A1&gt;=1,IF('Tournament Details'!C68&lt;=LARGE('Round 1'!$C:$C,1),VLOOKUP(SMALL('Round 1'!$C:$C,62),'Round 1'!$C:$D,2,FALSE),""),"")</f>
        <v/>
      </c>
      <c r="E64" s="44" t="str">
        <f>IF(D64="","",B64+VLOOKUP(D64,'Round 1'!$D:$E,2,FALSE))</f>
        <v/>
      </c>
      <c r="F64" s="44" t="str">
        <f>IF(D64="","",(LARGE('Tournament Details'!$C:$C,1)+1-D64)+E64)</f>
        <v/>
      </c>
      <c r="G64" s="24" t="str">
        <f>D63</f>
        <v/>
      </c>
      <c r="H64" s="26" t="str">
        <f>IF(D64="","",IF(VLOOKUP(D64,'Tournament Details'!$C:$G,5,FALSE)="",D64,VLOOKUP(D64,'Tournament Details'!$C:$G,5,FALSE)))</f>
        <v/>
      </c>
      <c r="I64" s="12" t="str">
        <f>IF(D64=0,"",IF(VLOOKUP(D64,'Tournament Details'!$C:$E,3,FALSE)&gt;0,VLOOKUP(D64,'Tournament Details'!$C:$E,3,FALSE),""))</f>
        <v/>
      </c>
      <c r="J64" s="124"/>
      <c r="K64" s="124"/>
      <c r="L64" s="23"/>
      <c r="M64" s="24"/>
      <c r="N64" s="24"/>
      <c r="O64" s="24"/>
      <c r="P64" s="187">
        <v>0</v>
      </c>
      <c r="Q64" s="183">
        <f t="shared" si="6"/>
        <v>0</v>
      </c>
      <c r="R64" s="135" t="str">
        <f t="shared" si="7"/>
        <v/>
      </c>
      <c r="S64" s="135" t="str">
        <f>IF(Q64="","",IF(Q63+Q64&lt;&gt;20,IF(Q63+Q64&lt;&gt;0,"!",""),""))</f>
        <v/>
      </c>
      <c r="T64" s="21" t="str">
        <f t="shared" si="8"/>
        <v/>
      </c>
      <c r="U64" s="132">
        <f>IF(D64="",0,VLOOKUP(D64,'Tournament Details'!$C:$X,22,FALSE))</f>
        <v>0</v>
      </c>
      <c r="V64" s="132">
        <f>IF(D64="",0,VLOOKUP(D64,'Tournament Details'!$C:$Y,23,FALSE))</f>
        <v>0</v>
      </c>
      <c r="W64" s="132">
        <f>IF(D64="",0,VLOOKUP(D64,'Tournament Details'!$C:$Z,24,FALSE))</f>
        <v>0</v>
      </c>
      <c r="X64" s="132">
        <f>IF(D64="",0,VLOOKUP(D64,'Tournament Details'!$C:$AA,25,FALSE))</f>
        <v>0</v>
      </c>
      <c r="Y64" s="40" t="str">
        <f>IF(D64="","",IF(COUNTIF(D:D,D64)&gt;1,"DUPLICATE PLAYER",IF(D63="","NO OPPONENT",IF(D63=U64,"REPEAT MATCHUP",IF(H64=H63,"SAME TEAM","")))))</f>
        <v/>
      </c>
      <c r="Z64" s="40"/>
      <c r="AA64" t="str">
        <f>IF(Y64="NO OPPONENT","",IF(Y64&lt;&gt;"",CONCATENATE("Previous Matchup Player #: ",VLOOKUP(D64,'Tournament Details'!$C:$X,22,FALSE)),""))</f>
        <v/>
      </c>
    </row>
    <row r="65" spans="1:27" ht="15" customHeight="1" thickBot="1" x14ac:dyDescent="0.35">
      <c r="A65" s="224" t="str">
        <f>IF('Tournament Details'!A1&gt;=1,IF(LARGE('Tournament Details'!C7:C86,1)&gt;=64,32,""),"")</f>
        <v/>
      </c>
      <c r="B65" s="42">
        <f t="shared" si="5"/>
        <v>0</v>
      </c>
      <c r="C65" s="44" t="str">
        <f t="shared" si="4"/>
        <v/>
      </c>
      <c r="D65" s="66" t="str">
        <f>IF('Tournament Details'!A1&gt;=1,IF('Tournament Details'!C69&lt;=LARGE('Round 1'!$C:$C,1),VLOOKUP(SMALL('Round 1'!$C:$C,63),'Round 1'!$C:$D,2,FALSE),""),"")</f>
        <v/>
      </c>
      <c r="E65" s="44" t="str">
        <f>IF(D65="","",B65+VLOOKUP(D65,'Round 1'!$D:$E,2,FALSE))</f>
        <v/>
      </c>
      <c r="F65" s="44" t="str">
        <f>IF(D65="","",(LARGE('Tournament Details'!$C:$C,1)+1-D65)+E65)</f>
        <v/>
      </c>
      <c r="G65" s="23" t="str">
        <f>D66</f>
        <v/>
      </c>
      <c r="H65" s="25" t="str">
        <f>IF(D65="","",IF(VLOOKUP(D65,'Tournament Details'!$C:$G,5,FALSE)="",D65,VLOOKUP(D65,'Tournament Details'!$C:$G,5,FALSE)))</f>
        <v/>
      </c>
      <c r="I65" s="7" t="str">
        <f>IF(D65=0,"",IF(VLOOKUP(D65,'Tournament Details'!$C:$E,3,FALSE)&gt;0,VLOOKUP(D65,'Tournament Details'!$C:$E,3,FALSE),""))</f>
        <v/>
      </c>
      <c r="J65" s="123"/>
      <c r="K65" s="123"/>
      <c r="L65" s="23"/>
      <c r="M65" s="23"/>
      <c r="N65" s="23"/>
      <c r="O65" s="23"/>
      <c r="P65" s="186">
        <v>0</v>
      </c>
      <c r="Q65" s="183">
        <f t="shared" si="6"/>
        <v>0</v>
      </c>
      <c r="R65" s="135" t="str">
        <f t="shared" si="7"/>
        <v/>
      </c>
      <c r="S65" s="135" t="str">
        <f>IF(Q65="","",IF(Q65+Q66&lt;&gt;20,IF(Q65+Q66&lt;&gt;0,"!",""),""))</f>
        <v/>
      </c>
      <c r="T65" s="21" t="str">
        <f t="shared" si="8"/>
        <v/>
      </c>
      <c r="U65" s="132">
        <f>IF(D65="",0,VLOOKUP(D65,'Tournament Details'!$C:$X,22,FALSE))</f>
        <v>0</v>
      </c>
      <c r="V65" s="132">
        <f>IF(D65="",0,VLOOKUP(D65,'Tournament Details'!$C:$Y,23,FALSE))</f>
        <v>0</v>
      </c>
      <c r="W65" s="132">
        <f>IF(D65="",0,VLOOKUP(D65,'Tournament Details'!$C:$Z,24,FALSE))</f>
        <v>0</v>
      </c>
      <c r="X65" s="132">
        <f>IF(D65="",0,VLOOKUP(D65,'Tournament Details'!$C:$AA,25,FALSE))</f>
        <v>0</v>
      </c>
      <c r="Y65" s="40" t="str">
        <f>IF(D65="","",IF(COUNTIF(D:D,D65)&gt;1,"DUPLICATE PLAYER",IF(D66="","NO OPPONENT",IF(D66=U65,"REPEAT MATCHUP",IF(H65=H66,"SAME TEAM","")))))</f>
        <v/>
      </c>
      <c r="Z65" s="40"/>
      <c r="AA65" t="str">
        <f>IF(Y65="NO OPPONENT","",IF(Y65&lt;&gt;"",CONCATENATE("Previous Matchup Player #: ",VLOOKUP(D65,'Tournament Details'!$C:$X,22,FALSE)),""))</f>
        <v/>
      </c>
    </row>
    <row r="66" spans="1:27" ht="15" customHeight="1" thickBot="1" x14ac:dyDescent="0.35">
      <c r="A66" s="224"/>
      <c r="B66" s="43">
        <f t="shared" si="5"/>
        <v>0</v>
      </c>
      <c r="C66" s="44" t="str">
        <f t="shared" si="4"/>
        <v/>
      </c>
      <c r="D66" s="74" t="str">
        <f>IF('Tournament Details'!A1&gt;=1,IF('Tournament Details'!C70&lt;=LARGE('Round 1'!$C:$C,1),VLOOKUP(SMALL('Round 1'!$C:$C,64),'Round 1'!$C:$D,2,FALSE),""),"")</f>
        <v/>
      </c>
      <c r="E66" s="44" t="str">
        <f>IF(D66="","",B66+VLOOKUP(D66,'Round 1'!$D:$E,2,FALSE))</f>
        <v/>
      </c>
      <c r="F66" s="44" t="str">
        <f>IF(D66="","",(LARGE('Tournament Details'!$C:$C,1)+1-D66)+E66)</f>
        <v/>
      </c>
      <c r="G66" s="24" t="str">
        <f>D65</f>
        <v/>
      </c>
      <c r="H66" s="26" t="str">
        <f>IF(D66="","",IF(VLOOKUP(D66,'Tournament Details'!$C:$G,5,FALSE)="",D66,VLOOKUP(D66,'Tournament Details'!$C:$G,5,FALSE)))</f>
        <v/>
      </c>
      <c r="I66" s="12" t="str">
        <f>IF(D66=0,"",IF(VLOOKUP(D66,'Tournament Details'!$C:$E,3,FALSE)&gt;0,VLOOKUP(D66,'Tournament Details'!$C:$E,3,FALSE),""))</f>
        <v/>
      </c>
      <c r="J66" s="124"/>
      <c r="K66" s="124"/>
      <c r="L66" s="23"/>
      <c r="M66" s="24"/>
      <c r="N66" s="24"/>
      <c r="O66" s="24"/>
      <c r="P66" s="187">
        <v>0</v>
      </c>
      <c r="Q66" s="183">
        <f t="shared" si="6"/>
        <v>0</v>
      </c>
      <c r="R66" s="135" t="str">
        <f t="shared" si="7"/>
        <v/>
      </c>
      <c r="S66" s="135" t="str">
        <f>IF(Q66="","",IF(Q65+Q66&lt;&gt;20,IF(Q65+Q66&lt;&gt;0,"!",""),""))</f>
        <v/>
      </c>
      <c r="T66" s="21" t="str">
        <f t="shared" si="8"/>
        <v/>
      </c>
      <c r="U66" s="132">
        <f>IF(D66="",0,VLOOKUP(D66,'Tournament Details'!$C:$X,22,FALSE))</f>
        <v>0</v>
      </c>
      <c r="V66" s="132">
        <f>IF(D66="",0,VLOOKUP(D66,'Tournament Details'!$C:$Y,23,FALSE))</f>
        <v>0</v>
      </c>
      <c r="W66" s="132">
        <f>IF(D66="",0,VLOOKUP(D66,'Tournament Details'!$C:$Z,24,FALSE))</f>
        <v>0</v>
      </c>
      <c r="X66" s="132">
        <f>IF(D66="",0,VLOOKUP(D66,'Tournament Details'!$C:$AA,25,FALSE))</f>
        <v>0</v>
      </c>
      <c r="Y66" s="40" t="str">
        <f>IF(D66="","",IF(COUNTIF(D:D,D66)&gt;1,"DUPLICATE PLAYER",IF(D65="","NO OPPONENT",IF(D65=U66,"REPEAT MATCHUP",IF(H66=H65,"SAME TEAM","")))))</f>
        <v/>
      </c>
      <c r="Z66" s="40"/>
      <c r="AA66" t="str">
        <f>IF(Y66="NO OPPONENT","",IF(Y66&lt;&gt;"",CONCATENATE("Previous Matchup Player #: ",VLOOKUP(D66,'Tournament Details'!$C:$X,22,FALSE)),""))</f>
        <v/>
      </c>
    </row>
    <row r="67" spans="1:27" ht="15" customHeight="1" thickBot="1" x14ac:dyDescent="0.35">
      <c r="A67" s="224" t="str">
        <f>IF('Tournament Details'!A1&gt;=1,IF(LARGE('Tournament Details'!C7:C86,1)&gt;=66,33,""),"")</f>
        <v/>
      </c>
      <c r="B67" s="42">
        <f t="shared" ref="B67:B82" si="9">IF(Q67="","",(Q67*10000)+K67)</f>
        <v>0</v>
      </c>
      <c r="C67" s="44" t="str">
        <f t="shared" si="4"/>
        <v/>
      </c>
      <c r="D67" s="66" t="str">
        <f>IF('Tournament Details'!A1&gt;=1,IF('Tournament Details'!C71&lt;=LARGE('Round 1'!$C:$C,1),VLOOKUP(SMALL('Round 1'!$C:$C,65),'Round 1'!$C:$D,2,FALSE),""),"")</f>
        <v/>
      </c>
      <c r="E67" s="44" t="str">
        <f>IF(D67="","",B67+VLOOKUP(D67,'Round 1'!$D:$E,2,FALSE))</f>
        <v/>
      </c>
      <c r="F67" s="44" t="str">
        <f>IF(D67="","",(LARGE('Tournament Details'!$C:$C,1)+1-D67)+E67)</f>
        <v/>
      </c>
      <c r="G67" s="23" t="str">
        <f>D68</f>
        <v/>
      </c>
      <c r="H67" s="25" t="str">
        <f>IF(D67="","",IF(VLOOKUP(D67,'Tournament Details'!$C:$G,5,FALSE)="",D67,VLOOKUP(D67,'Tournament Details'!$C:$G,5,FALSE)))</f>
        <v/>
      </c>
      <c r="I67" s="7" t="str">
        <f>IF(D67=0,"",IF(VLOOKUP(D67,'Tournament Details'!$C:$E,3,FALSE)&gt;0,VLOOKUP(D67,'Tournament Details'!$C:$E,3,FALSE),""))</f>
        <v/>
      </c>
      <c r="J67" s="123"/>
      <c r="K67" s="123"/>
      <c r="L67" s="23"/>
      <c r="M67" s="23"/>
      <c r="N67" s="23"/>
      <c r="O67" s="23"/>
      <c r="P67" s="186">
        <v>0</v>
      </c>
      <c r="Q67" s="183">
        <f t="shared" ref="Q67:Q82" si="10">IF(P67="",0,P67)</f>
        <v>0</v>
      </c>
      <c r="R67" s="135" t="str">
        <f t="shared" ref="R67:R82" si="11">IF(J67="","",IF(J67&gt;16,"!",IF(J67&lt;4,"!","")))</f>
        <v/>
      </c>
      <c r="S67" s="135" t="str">
        <f>IF(Q67="","",IF(Q67+Q68&lt;&gt;20,IF(Q67+Q68&lt;&gt;0,"!",""),""))</f>
        <v/>
      </c>
      <c r="T67" s="21" t="str">
        <f t="shared" ref="T67:T82" si="12">IF(R67="!","!",IF(S67="!","!",""))</f>
        <v/>
      </c>
      <c r="U67" s="132">
        <f>IF(D67="",0,VLOOKUP(D67,'Tournament Details'!$C:$X,22,FALSE))</f>
        <v>0</v>
      </c>
      <c r="V67" s="132">
        <f>IF(D67="",0,VLOOKUP(D67,'Tournament Details'!$C:$Y,23,FALSE))</f>
        <v>0</v>
      </c>
      <c r="W67" s="132">
        <f>IF(D67="",0,VLOOKUP(D67,'Tournament Details'!$C:$Z,24,FALSE))</f>
        <v>0</v>
      </c>
      <c r="X67" s="132">
        <f>IF(D67="",0,VLOOKUP(D67,'Tournament Details'!$C:$AA,25,FALSE))</f>
        <v>0</v>
      </c>
      <c r="Y67" s="40" t="str">
        <f>IF(D67="","",IF(COUNTIF(D:D,D67)&gt;1,"DUPLICATE PLAYER",IF(D68="","NO OPPONENT",IF(D68=U67,"REPEAT MATCHUP",IF(H67=H68,"SAME TEAM","")))))</f>
        <v/>
      </c>
      <c r="Z67" s="40"/>
      <c r="AA67" t="str">
        <f>IF(Y67="NO OPPONENT","",IF(Y67&lt;&gt;"",CONCATENATE("Previous Matchup Player #: ",VLOOKUP(D67,'Tournament Details'!$C:$X,22,FALSE)),""))</f>
        <v/>
      </c>
    </row>
    <row r="68" spans="1:27" ht="15" customHeight="1" thickBot="1" x14ac:dyDescent="0.35">
      <c r="A68" s="224"/>
      <c r="B68" s="43">
        <f t="shared" si="9"/>
        <v>0</v>
      </c>
      <c r="C68" s="44" t="str">
        <f t="shared" ref="C68:C82" si="13">IF(D68="","",IF(COUNTIF(E:E,E68)=1,RANK(E68,E:E),RANK(F68,F:F)))</f>
        <v/>
      </c>
      <c r="D68" s="74" t="str">
        <f>IF('Tournament Details'!A1&gt;=1,IF('Tournament Details'!C72&lt;=LARGE('Round 1'!$C:$C,1),VLOOKUP(SMALL('Round 1'!$C:$C,66),'Round 1'!$C:$D,2,FALSE),""),"")</f>
        <v/>
      </c>
      <c r="E68" s="44" t="str">
        <f>IF(D68="","",B68+VLOOKUP(D68,'Round 1'!$D:$E,2,FALSE))</f>
        <v/>
      </c>
      <c r="F68" s="44" t="str">
        <f>IF(D68="","",(LARGE('Tournament Details'!$C:$C,1)+1-D68)+E68)</f>
        <v/>
      </c>
      <c r="G68" s="24" t="str">
        <f>D67</f>
        <v/>
      </c>
      <c r="H68" s="26" t="str">
        <f>IF(D68="","",IF(VLOOKUP(D68,'Tournament Details'!$C:$G,5,FALSE)="",D68,VLOOKUP(D68,'Tournament Details'!$C:$G,5,FALSE)))</f>
        <v/>
      </c>
      <c r="I68" s="12" t="str">
        <f>IF(D68=0,"",IF(VLOOKUP(D68,'Tournament Details'!$C:$E,3,FALSE)&gt;0,VLOOKUP(D68,'Tournament Details'!$C:$E,3,FALSE),""))</f>
        <v/>
      </c>
      <c r="J68" s="124"/>
      <c r="K68" s="124"/>
      <c r="L68" s="23"/>
      <c r="M68" s="24"/>
      <c r="N68" s="24"/>
      <c r="O68" s="24"/>
      <c r="P68" s="187">
        <v>0</v>
      </c>
      <c r="Q68" s="183">
        <f t="shared" si="10"/>
        <v>0</v>
      </c>
      <c r="R68" s="135" t="str">
        <f t="shared" si="11"/>
        <v/>
      </c>
      <c r="S68" s="135" t="str">
        <f>IF(Q68="","",IF(Q67+Q68&lt;&gt;20,IF(Q67+Q68&lt;&gt;0,"!",""),""))</f>
        <v/>
      </c>
      <c r="T68" s="21" t="str">
        <f t="shared" si="12"/>
        <v/>
      </c>
      <c r="U68" s="132">
        <f>IF(D68="",0,VLOOKUP(D68,'Tournament Details'!$C:$X,22,FALSE))</f>
        <v>0</v>
      </c>
      <c r="V68" s="132">
        <f>IF(D68="",0,VLOOKUP(D68,'Tournament Details'!$C:$Y,23,FALSE))</f>
        <v>0</v>
      </c>
      <c r="W68" s="132">
        <f>IF(D68="",0,VLOOKUP(D68,'Tournament Details'!$C:$Z,24,FALSE))</f>
        <v>0</v>
      </c>
      <c r="X68" s="132">
        <f>IF(D68="",0,VLOOKUP(D68,'Tournament Details'!$C:$AA,25,FALSE))</f>
        <v>0</v>
      </c>
      <c r="Y68" s="40" t="str">
        <f>IF(D68="","",IF(COUNTIF(D:D,D68)&gt;1,"DUPLICATE PLAYER",IF(D67="","NO OPPONENT",IF(D67=U68,"REPEAT MATCHUP",IF(H68=H67,"SAME TEAM","")))))</f>
        <v/>
      </c>
      <c r="Z68" s="40"/>
      <c r="AA68" t="str">
        <f>IF(Y68="NO OPPONENT","",IF(Y68&lt;&gt;"",CONCATENATE("Previous Matchup Player #: ",VLOOKUP(D68,'Tournament Details'!$C:$X,22,FALSE)),""))</f>
        <v/>
      </c>
    </row>
    <row r="69" spans="1:27" ht="15" customHeight="1" thickBot="1" x14ac:dyDescent="0.35">
      <c r="A69" s="224" t="str">
        <f>IF('Tournament Details'!A1&gt;=1,IF(LARGE('Tournament Details'!C7:C86,1)&gt;=68,34,""),"")</f>
        <v/>
      </c>
      <c r="B69" s="42">
        <f t="shared" si="9"/>
        <v>0</v>
      </c>
      <c r="C69" s="44" t="str">
        <f t="shared" si="13"/>
        <v/>
      </c>
      <c r="D69" s="66" t="str">
        <f>IF('Tournament Details'!A1&gt;=1,IF('Tournament Details'!C73&lt;=LARGE('Round 1'!$C:$C,1),VLOOKUP(SMALL('Round 1'!$C:$C,67),'Round 1'!$C:$D,2,FALSE),""),"")</f>
        <v/>
      </c>
      <c r="E69" s="44" t="str">
        <f>IF(D69="","",B69+VLOOKUP(D69,'Round 1'!$D:$E,2,FALSE))</f>
        <v/>
      </c>
      <c r="F69" s="44" t="str">
        <f>IF(D69="","",(LARGE('Tournament Details'!$C:$C,1)+1-D69)+E69)</f>
        <v/>
      </c>
      <c r="G69" s="23" t="str">
        <f>D70</f>
        <v/>
      </c>
      <c r="H69" s="25" t="str">
        <f>IF(D69="","",IF(VLOOKUP(D69,'Tournament Details'!$C:$G,5,FALSE)="",D69,VLOOKUP(D69,'Tournament Details'!$C:$G,5,FALSE)))</f>
        <v/>
      </c>
      <c r="I69" s="7" t="str">
        <f>IF(D69=0,"",IF(VLOOKUP(D69,'Tournament Details'!$C:$E,3,FALSE)&gt;0,VLOOKUP(D69,'Tournament Details'!$C:$E,3,FALSE),""))</f>
        <v/>
      </c>
      <c r="J69" s="123"/>
      <c r="K69" s="123"/>
      <c r="L69" s="23"/>
      <c r="M69" s="23"/>
      <c r="N69" s="23"/>
      <c r="O69" s="23"/>
      <c r="P69" s="186">
        <v>0</v>
      </c>
      <c r="Q69" s="183">
        <f t="shared" si="10"/>
        <v>0</v>
      </c>
      <c r="R69" s="135" t="str">
        <f t="shared" si="11"/>
        <v/>
      </c>
      <c r="S69" s="135" t="str">
        <f>IF(Q69="","",IF(Q69+Q70&lt;&gt;20,IF(Q69+Q70&lt;&gt;0,"!",""),""))</f>
        <v/>
      </c>
      <c r="T69" s="21" t="str">
        <f t="shared" si="12"/>
        <v/>
      </c>
      <c r="U69" s="132">
        <f>IF(D69="",0,VLOOKUP(D69,'Tournament Details'!$C:$X,22,FALSE))</f>
        <v>0</v>
      </c>
      <c r="V69" s="132">
        <f>IF(D69="",0,VLOOKUP(D69,'Tournament Details'!$C:$Y,23,FALSE))</f>
        <v>0</v>
      </c>
      <c r="W69" s="132">
        <f>IF(D69="",0,VLOOKUP(D69,'Tournament Details'!$C:$Z,24,FALSE))</f>
        <v>0</v>
      </c>
      <c r="X69" s="132">
        <f>IF(D69="",0,VLOOKUP(D69,'Tournament Details'!$C:$AA,25,FALSE))</f>
        <v>0</v>
      </c>
      <c r="Y69" s="40" t="str">
        <f>IF(D69="","",IF(COUNTIF(D:D,D69)&gt;1,"DUPLICATE PLAYER",IF(D70="","NO OPPONENT",IF(D70=U69,"REPEAT MATCHUP",IF(H69=H70,"SAME TEAM","")))))</f>
        <v/>
      </c>
      <c r="Z69" s="40"/>
      <c r="AA69" t="str">
        <f>IF(Y69="NO OPPONENT","",IF(Y69&lt;&gt;"",CONCATENATE("Previous Matchup Player #: ",VLOOKUP(D69,'Tournament Details'!$C:$X,22,FALSE)),""))</f>
        <v/>
      </c>
    </row>
    <row r="70" spans="1:27" ht="15" customHeight="1" thickBot="1" x14ac:dyDescent="0.35">
      <c r="A70" s="224"/>
      <c r="B70" s="43">
        <f t="shared" si="9"/>
        <v>0</v>
      </c>
      <c r="C70" s="44" t="str">
        <f t="shared" si="13"/>
        <v/>
      </c>
      <c r="D70" s="74" t="str">
        <f>IF('Tournament Details'!A1&gt;=1,IF('Tournament Details'!C74&lt;=LARGE('Round 1'!$C:$C,1),VLOOKUP(SMALL('Round 1'!$C:$C,68),'Round 1'!$C:$D,2,FALSE),""),"")</f>
        <v/>
      </c>
      <c r="E70" s="44" t="str">
        <f>IF(D70="","",B70+VLOOKUP(D70,'Round 1'!$D:$E,2,FALSE))</f>
        <v/>
      </c>
      <c r="F70" s="44" t="str">
        <f>IF(D70="","",(LARGE('Tournament Details'!$C:$C,1)+1-D70)+E70)</f>
        <v/>
      </c>
      <c r="G70" s="24" t="str">
        <f>D69</f>
        <v/>
      </c>
      <c r="H70" s="26" t="str">
        <f>IF(D70="","",IF(VLOOKUP(D70,'Tournament Details'!$C:$G,5,FALSE)="",D70,VLOOKUP(D70,'Tournament Details'!$C:$G,5,FALSE)))</f>
        <v/>
      </c>
      <c r="I70" s="12" t="str">
        <f>IF(D70=0,"",IF(VLOOKUP(D70,'Tournament Details'!$C:$E,3,FALSE)&gt;0,VLOOKUP(D70,'Tournament Details'!$C:$E,3,FALSE),""))</f>
        <v/>
      </c>
      <c r="J70" s="124"/>
      <c r="K70" s="124"/>
      <c r="L70" s="23"/>
      <c r="M70" s="24"/>
      <c r="N70" s="24"/>
      <c r="O70" s="24"/>
      <c r="P70" s="187">
        <v>0</v>
      </c>
      <c r="Q70" s="183">
        <f t="shared" si="10"/>
        <v>0</v>
      </c>
      <c r="R70" s="135" t="str">
        <f t="shared" si="11"/>
        <v/>
      </c>
      <c r="S70" s="135" t="str">
        <f>IF(Q70="","",IF(Q69+Q70&lt;&gt;20,IF(Q69+Q70&lt;&gt;0,"!",""),""))</f>
        <v/>
      </c>
      <c r="T70" s="21" t="str">
        <f t="shared" si="12"/>
        <v/>
      </c>
      <c r="U70" s="132">
        <f>IF(D70="",0,VLOOKUP(D70,'Tournament Details'!$C:$X,22,FALSE))</f>
        <v>0</v>
      </c>
      <c r="V70" s="132">
        <f>IF(D70="",0,VLOOKUP(D70,'Tournament Details'!$C:$Y,23,FALSE))</f>
        <v>0</v>
      </c>
      <c r="W70" s="132">
        <f>IF(D70="",0,VLOOKUP(D70,'Tournament Details'!$C:$Z,24,FALSE))</f>
        <v>0</v>
      </c>
      <c r="X70" s="132">
        <f>IF(D70="",0,VLOOKUP(D70,'Tournament Details'!$C:$AA,25,FALSE))</f>
        <v>0</v>
      </c>
      <c r="Y70" s="40" t="str">
        <f>IF(D70="","",IF(COUNTIF(D:D,D70)&gt;1,"DUPLICATE PLAYER",IF(D69="","NO OPPONENT",IF(D69=U70,"REPEAT MATCHUP",IF(H70=H69,"SAME TEAM","")))))</f>
        <v/>
      </c>
      <c r="Z70" s="40"/>
      <c r="AA70" t="str">
        <f>IF(Y70="NO OPPONENT","",IF(Y70&lt;&gt;"",CONCATENATE("Previous Matchup Player #: ",VLOOKUP(D70,'Tournament Details'!$C:$X,22,FALSE)),""))</f>
        <v/>
      </c>
    </row>
    <row r="71" spans="1:27" ht="15" customHeight="1" thickBot="1" x14ac:dyDescent="0.35">
      <c r="A71" s="224" t="str">
        <f>IF('Tournament Details'!A1&gt;=1,IF(LARGE('Tournament Details'!C7:C86,1)&gt;=70,35,""),"")</f>
        <v/>
      </c>
      <c r="B71" s="42">
        <f t="shared" si="9"/>
        <v>0</v>
      </c>
      <c r="C71" s="44" t="str">
        <f t="shared" si="13"/>
        <v/>
      </c>
      <c r="D71" s="66" t="str">
        <f>IF('Tournament Details'!A1&gt;=1,IF('Tournament Details'!C75&lt;=LARGE('Round 1'!$C:$C,1),VLOOKUP(SMALL('Round 1'!$C:$C,69),'Round 1'!$C:$D,2,FALSE),""),"")</f>
        <v/>
      </c>
      <c r="E71" s="44" t="str">
        <f>IF(D71="","",B71+VLOOKUP(D71,'Round 1'!$D:$E,2,FALSE))</f>
        <v/>
      </c>
      <c r="F71" s="44" t="str">
        <f>IF(D71="","",(LARGE('Tournament Details'!$C:$C,1)+1-D71)+E71)</f>
        <v/>
      </c>
      <c r="G71" s="23" t="str">
        <f>D72</f>
        <v/>
      </c>
      <c r="H71" s="25" t="str">
        <f>IF(D71="","",IF(VLOOKUP(D71,'Tournament Details'!$C:$G,5,FALSE)="",D71,VLOOKUP(D71,'Tournament Details'!$C:$G,5,FALSE)))</f>
        <v/>
      </c>
      <c r="I71" s="7" t="str">
        <f>IF(D71=0,"",IF(VLOOKUP(D71,'Tournament Details'!$C:$E,3,FALSE)&gt;0,VLOOKUP(D71,'Tournament Details'!$C:$E,3,FALSE),""))</f>
        <v/>
      </c>
      <c r="J71" s="123"/>
      <c r="K71" s="123"/>
      <c r="L71" s="23"/>
      <c r="M71" s="23"/>
      <c r="N71" s="23"/>
      <c r="O71" s="23"/>
      <c r="P71" s="186">
        <v>0</v>
      </c>
      <c r="Q71" s="183">
        <f t="shared" si="10"/>
        <v>0</v>
      </c>
      <c r="R71" s="135" t="str">
        <f t="shared" si="11"/>
        <v/>
      </c>
      <c r="S71" s="135" t="str">
        <f>IF(Q71="","",IF(Q71+Q72&lt;&gt;20,IF(Q71+Q72&lt;&gt;0,"!",""),""))</f>
        <v/>
      </c>
      <c r="T71" s="21" t="str">
        <f t="shared" si="12"/>
        <v/>
      </c>
      <c r="U71" s="132">
        <f>IF(D71="",0,VLOOKUP(D71,'Tournament Details'!$C:$X,22,FALSE))</f>
        <v>0</v>
      </c>
      <c r="V71" s="132">
        <f>IF(D71="",0,VLOOKUP(D71,'Tournament Details'!$C:$Y,23,FALSE))</f>
        <v>0</v>
      </c>
      <c r="W71" s="132">
        <f>IF(D71="",0,VLOOKUP(D71,'Tournament Details'!$C:$Z,24,FALSE))</f>
        <v>0</v>
      </c>
      <c r="X71" s="132">
        <f>IF(D71="",0,VLOOKUP(D71,'Tournament Details'!$C:$AA,25,FALSE))</f>
        <v>0</v>
      </c>
      <c r="Y71" s="40" t="str">
        <f>IF(D71="","",IF(COUNTIF(D:D,D71)&gt;1,"DUPLICATE PLAYER",IF(D72="","NO OPPONENT",IF(D72=U71,"REPEAT MATCHUP",IF(H71=H72,"SAME TEAM","")))))</f>
        <v/>
      </c>
      <c r="Z71" s="40"/>
      <c r="AA71" t="str">
        <f>IF(Y71="NO OPPONENT","",IF(Y71&lt;&gt;"",CONCATENATE("Previous Matchup Player #: ",VLOOKUP(D71,'Tournament Details'!$C:$X,22,FALSE)),""))</f>
        <v/>
      </c>
    </row>
    <row r="72" spans="1:27" ht="15" customHeight="1" thickBot="1" x14ac:dyDescent="0.35">
      <c r="A72" s="224"/>
      <c r="B72" s="43">
        <f t="shared" si="9"/>
        <v>0</v>
      </c>
      <c r="C72" s="44" t="str">
        <f t="shared" si="13"/>
        <v/>
      </c>
      <c r="D72" s="74" t="str">
        <f>IF('Tournament Details'!A1&gt;=1,IF('Tournament Details'!C76&lt;=LARGE('Round 1'!$C:$C,1),VLOOKUP(SMALL('Round 1'!$C:$C,70),'Round 1'!$C:$D,2,FALSE),""),"")</f>
        <v/>
      </c>
      <c r="E72" s="44" t="str">
        <f>IF(D72="","",B72+VLOOKUP(D72,'Round 1'!$D:$E,2,FALSE))</f>
        <v/>
      </c>
      <c r="F72" s="44" t="str">
        <f>IF(D72="","",(LARGE('Tournament Details'!$C:$C,1)+1-D72)+E72)</f>
        <v/>
      </c>
      <c r="G72" s="24" t="str">
        <f>D71</f>
        <v/>
      </c>
      <c r="H72" s="26" t="str">
        <f>IF(D72="","",IF(VLOOKUP(D72,'Tournament Details'!$C:$G,5,FALSE)="",D72,VLOOKUP(D72,'Tournament Details'!$C:$G,5,FALSE)))</f>
        <v/>
      </c>
      <c r="I72" s="12" t="str">
        <f>IF(D72=0,"",IF(VLOOKUP(D72,'Tournament Details'!$C:$E,3,FALSE)&gt;0,VLOOKUP(D72,'Tournament Details'!$C:$E,3,FALSE),""))</f>
        <v/>
      </c>
      <c r="J72" s="124"/>
      <c r="K72" s="124"/>
      <c r="L72" s="23"/>
      <c r="M72" s="24"/>
      <c r="N72" s="24"/>
      <c r="O72" s="24"/>
      <c r="P72" s="187">
        <v>0</v>
      </c>
      <c r="Q72" s="183">
        <f t="shared" si="10"/>
        <v>0</v>
      </c>
      <c r="R72" s="135" t="str">
        <f t="shared" si="11"/>
        <v/>
      </c>
      <c r="S72" s="135" t="str">
        <f>IF(Q72="","",IF(Q71+Q72&lt;&gt;20,IF(Q71+Q72&lt;&gt;0,"!",""),""))</f>
        <v/>
      </c>
      <c r="T72" s="21" t="str">
        <f t="shared" si="12"/>
        <v/>
      </c>
      <c r="U72" s="132">
        <f>IF(D72="",0,VLOOKUP(D72,'Tournament Details'!$C:$X,22,FALSE))</f>
        <v>0</v>
      </c>
      <c r="V72" s="132">
        <f>IF(D72="",0,VLOOKUP(D72,'Tournament Details'!$C:$Y,23,FALSE))</f>
        <v>0</v>
      </c>
      <c r="W72" s="132">
        <f>IF(D72="",0,VLOOKUP(D72,'Tournament Details'!$C:$Z,24,FALSE))</f>
        <v>0</v>
      </c>
      <c r="X72" s="132">
        <f>IF(D72="",0,VLOOKUP(D72,'Tournament Details'!$C:$AA,25,FALSE))</f>
        <v>0</v>
      </c>
      <c r="Y72" s="40" t="str">
        <f>IF(D72="","",IF(COUNTIF(D:D,D72)&gt;1,"DUPLICATE PLAYER",IF(D71="","NO OPPONENT",IF(D71=U72,"REPEAT MATCHUP",IF(H72=H71,"SAME TEAM","")))))</f>
        <v/>
      </c>
      <c r="Z72" s="40"/>
      <c r="AA72" t="str">
        <f>IF(Y72="NO OPPONENT","",IF(Y72&lt;&gt;"",CONCATENATE("Previous Matchup Player #: ",VLOOKUP(D72,'Tournament Details'!$C:$X,22,FALSE)),""))</f>
        <v/>
      </c>
    </row>
    <row r="73" spans="1:27" ht="15" customHeight="1" thickBot="1" x14ac:dyDescent="0.35">
      <c r="A73" s="224" t="str">
        <f>IF('Tournament Details'!A1&gt;=1,IF(LARGE('Tournament Details'!C7:C86,1)&gt;=72,36,""),"")</f>
        <v/>
      </c>
      <c r="B73" s="42">
        <f t="shared" si="9"/>
        <v>0</v>
      </c>
      <c r="C73" s="44" t="str">
        <f t="shared" si="13"/>
        <v/>
      </c>
      <c r="D73" s="66" t="str">
        <f>IF('Tournament Details'!A1&gt;=1,IF('Tournament Details'!C77&lt;=LARGE('Round 1'!$C:$C,1),VLOOKUP(SMALL('Round 1'!$C:$C,71),'Round 1'!$C:$D,2,FALSE),""),"")</f>
        <v/>
      </c>
      <c r="E73" s="44" t="str">
        <f>IF(D73="","",B73+VLOOKUP(D73,'Round 1'!$D:$E,2,FALSE))</f>
        <v/>
      </c>
      <c r="F73" s="44" t="str">
        <f>IF(D73="","",(LARGE('Tournament Details'!$C:$C,1)+1-D73)+E73)</f>
        <v/>
      </c>
      <c r="G73" s="23" t="str">
        <f>D74</f>
        <v/>
      </c>
      <c r="H73" s="25" t="str">
        <f>IF(D73="","",IF(VLOOKUP(D73,'Tournament Details'!$C:$G,5,FALSE)="",D73,VLOOKUP(D73,'Tournament Details'!$C:$G,5,FALSE)))</f>
        <v/>
      </c>
      <c r="I73" s="7" t="str">
        <f>IF(D73=0,"",IF(VLOOKUP(D73,'Tournament Details'!$C:$E,3,FALSE)&gt;0,VLOOKUP(D73,'Tournament Details'!$C:$E,3,FALSE),""))</f>
        <v/>
      </c>
      <c r="J73" s="123"/>
      <c r="K73" s="123"/>
      <c r="L73" s="23"/>
      <c r="M73" s="23"/>
      <c r="N73" s="23"/>
      <c r="O73" s="23"/>
      <c r="P73" s="186">
        <v>0</v>
      </c>
      <c r="Q73" s="183">
        <f t="shared" si="10"/>
        <v>0</v>
      </c>
      <c r="R73" s="135" t="str">
        <f t="shared" si="11"/>
        <v/>
      </c>
      <c r="S73" s="135" t="str">
        <f>IF(Q73="","",IF(Q73+Q74&lt;&gt;20,IF(Q73+Q74&lt;&gt;0,"!",""),""))</f>
        <v/>
      </c>
      <c r="T73" s="21" t="str">
        <f t="shared" si="12"/>
        <v/>
      </c>
      <c r="U73" s="132">
        <f>IF(D73="",0,VLOOKUP(D73,'Tournament Details'!$C:$X,22,FALSE))</f>
        <v>0</v>
      </c>
      <c r="V73" s="132">
        <f>IF(D73="",0,VLOOKUP(D73,'Tournament Details'!$C:$Y,23,FALSE))</f>
        <v>0</v>
      </c>
      <c r="W73" s="132">
        <f>IF(D73="",0,VLOOKUP(D73,'Tournament Details'!$C:$Z,24,FALSE))</f>
        <v>0</v>
      </c>
      <c r="X73" s="132">
        <f>IF(D73="",0,VLOOKUP(D73,'Tournament Details'!$C:$AA,25,FALSE))</f>
        <v>0</v>
      </c>
      <c r="Y73" s="40" t="str">
        <f>IF(D73="","",IF(COUNTIF(D:D,D73)&gt;1,"DUPLICATE PLAYER",IF(D74="","NO OPPONENT",IF(D74=U73,"REPEAT MATCHUP",IF(H73=H74,"SAME TEAM","")))))</f>
        <v/>
      </c>
      <c r="Z73" s="40"/>
      <c r="AA73" t="str">
        <f>IF(Y73="NO OPPONENT","",IF(Y73&lt;&gt;"",CONCATENATE("Previous Matchup Player #: ",VLOOKUP(D73,'Tournament Details'!$C:$X,22,FALSE)),""))</f>
        <v/>
      </c>
    </row>
    <row r="74" spans="1:27" ht="15" customHeight="1" thickBot="1" x14ac:dyDescent="0.35">
      <c r="A74" s="224"/>
      <c r="B74" s="43">
        <f t="shared" si="9"/>
        <v>0</v>
      </c>
      <c r="C74" s="44" t="str">
        <f t="shared" si="13"/>
        <v/>
      </c>
      <c r="D74" s="74" t="str">
        <f>IF('Tournament Details'!A1&gt;=1,IF('Tournament Details'!C78&lt;=LARGE('Round 1'!$C:$C,1),VLOOKUP(SMALL('Round 1'!$C:$C,72),'Round 1'!$C:$D,2,FALSE),""),"")</f>
        <v/>
      </c>
      <c r="E74" s="44" t="str">
        <f>IF(D74="","",B74+VLOOKUP(D74,'Round 1'!$D:$E,2,FALSE))</f>
        <v/>
      </c>
      <c r="F74" s="44" t="str">
        <f>IF(D74="","",(LARGE('Tournament Details'!$C:$C,1)+1-D74)+E74)</f>
        <v/>
      </c>
      <c r="G74" s="24" t="str">
        <f>D73</f>
        <v/>
      </c>
      <c r="H74" s="26" t="str">
        <f>IF(D74="","",IF(VLOOKUP(D74,'Tournament Details'!$C:$G,5,FALSE)="",D74,VLOOKUP(D74,'Tournament Details'!$C:$G,5,FALSE)))</f>
        <v/>
      </c>
      <c r="I74" s="12" t="str">
        <f>IF(D74=0,"",IF(VLOOKUP(D74,'Tournament Details'!$C:$E,3,FALSE)&gt;0,VLOOKUP(D74,'Tournament Details'!$C:$E,3,FALSE),""))</f>
        <v/>
      </c>
      <c r="J74" s="124"/>
      <c r="K74" s="124"/>
      <c r="L74" s="23"/>
      <c r="M74" s="24"/>
      <c r="N74" s="24"/>
      <c r="O74" s="24"/>
      <c r="P74" s="187">
        <v>0</v>
      </c>
      <c r="Q74" s="183">
        <f t="shared" si="10"/>
        <v>0</v>
      </c>
      <c r="R74" s="135" t="str">
        <f t="shared" si="11"/>
        <v/>
      </c>
      <c r="S74" s="135" t="str">
        <f>IF(Q74="","",IF(Q73+Q74&lt;&gt;20,IF(Q73+Q74&lt;&gt;0,"!",""),""))</f>
        <v/>
      </c>
      <c r="T74" s="21" t="str">
        <f t="shared" si="12"/>
        <v/>
      </c>
      <c r="U74" s="132">
        <f>IF(D74="",0,VLOOKUP(D74,'Tournament Details'!$C:$X,22,FALSE))</f>
        <v>0</v>
      </c>
      <c r="V74" s="132">
        <f>IF(D74="",0,VLOOKUP(D74,'Tournament Details'!$C:$Y,23,FALSE))</f>
        <v>0</v>
      </c>
      <c r="W74" s="132">
        <f>IF(D74="",0,VLOOKUP(D74,'Tournament Details'!$C:$Z,24,FALSE))</f>
        <v>0</v>
      </c>
      <c r="X74" s="132">
        <f>IF(D74="",0,VLOOKUP(D74,'Tournament Details'!$C:$AA,25,FALSE))</f>
        <v>0</v>
      </c>
      <c r="Y74" s="40" t="str">
        <f>IF(D74="","",IF(COUNTIF(D:D,D74)&gt;1,"DUPLICATE PLAYER",IF(D73="","NO OPPONENT",IF(D73=U74,"REPEAT MATCHUP",IF(H74=H73,"SAME TEAM","")))))</f>
        <v/>
      </c>
      <c r="Z74" s="40"/>
      <c r="AA74" t="str">
        <f>IF(Y74="NO OPPONENT","",IF(Y74&lt;&gt;"",CONCATENATE("Previous Matchup Player #: ",VLOOKUP(D74,'Tournament Details'!$C:$X,22,FALSE)),""))</f>
        <v/>
      </c>
    </row>
    <row r="75" spans="1:27" ht="15" customHeight="1" thickBot="1" x14ac:dyDescent="0.35">
      <c r="A75" s="224" t="str">
        <f>IF('Tournament Details'!A1&gt;=1,IF(LARGE('Tournament Details'!C7:C86,1)&gt;=74,37,""),"")</f>
        <v/>
      </c>
      <c r="B75" s="42">
        <f t="shared" si="9"/>
        <v>0</v>
      </c>
      <c r="C75" s="44" t="str">
        <f t="shared" si="13"/>
        <v/>
      </c>
      <c r="D75" s="66" t="str">
        <f>IF('Tournament Details'!A1&gt;=1,IF('Tournament Details'!C79&lt;=LARGE('Round 1'!$C:$C,1),VLOOKUP(SMALL('Round 1'!$C:$C,73),'Round 1'!$C:$D,2,FALSE),""),"")</f>
        <v/>
      </c>
      <c r="E75" s="44" t="str">
        <f>IF(D75="","",B75+VLOOKUP(D75,'Round 1'!$D:$E,2,FALSE))</f>
        <v/>
      </c>
      <c r="F75" s="44" t="str">
        <f>IF(D75="","",(LARGE('Tournament Details'!$C:$C,1)+1-D75)+E75)</f>
        <v/>
      </c>
      <c r="G75" s="23" t="str">
        <f>D76</f>
        <v/>
      </c>
      <c r="H75" s="25" t="str">
        <f>IF(D75="","",IF(VLOOKUP(D75,'Tournament Details'!$C:$G,5,FALSE)="",D75,VLOOKUP(D75,'Tournament Details'!$C:$G,5,FALSE)))</f>
        <v/>
      </c>
      <c r="I75" s="7" t="str">
        <f>IF(D75=0,"",IF(VLOOKUP(D75,'Tournament Details'!$C:$E,3,FALSE)&gt;0,VLOOKUP(D75,'Tournament Details'!$C:$E,3,FALSE),""))</f>
        <v/>
      </c>
      <c r="J75" s="123"/>
      <c r="K75" s="123"/>
      <c r="L75" s="23"/>
      <c r="M75" s="23"/>
      <c r="N75" s="23"/>
      <c r="O75" s="23"/>
      <c r="P75" s="186">
        <v>0</v>
      </c>
      <c r="Q75" s="183">
        <f t="shared" si="10"/>
        <v>0</v>
      </c>
      <c r="R75" s="135" t="str">
        <f t="shared" si="11"/>
        <v/>
      </c>
      <c r="S75" s="135" t="str">
        <f>IF(Q75="","",IF(Q75+Q76&lt;&gt;20,IF(Q75+Q76&lt;&gt;0,"!",""),""))</f>
        <v/>
      </c>
      <c r="T75" s="21" t="str">
        <f t="shared" si="12"/>
        <v/>
      </c>
      <c r="U75" s="132">
        <f>IF(D75="",0,VLOOKUP(D75,'Tournament Details'!$C:$X,22,FALSE))</f>
        <v>0</v>
      </c>
      <c r="V75" s="132">
        <f>IF(D75="",0,VLOOKUP(D75,'Tournament Details'!$C:$Y,23,FALSE))</f>
        <v>0</v>
      </c>
      <c r="W75" s="132">
        <f>IF(D75="",0,VLOOKUP(D75,'Tournament Details'!$C:$Z,24,FALSE))</f>
        <v>0</v>
      </c>
      <c r="X75" s="132">
        <f>IF(D75="",0,VLOOKUP(D75,'Tournament Details'!$C:$AA,25,FALSE))</f>
        <v>0</v>
      </c>
      <c r="Y75" s="40" t="str">
        <f>IF(D75="","",IF(COUNTIF(D:D,D75)&gt;1,"DUPLICATE PLAYER",IF(D76="","NO OPPONENT",IF(D76=U75,"REPEAT MATCHUP",IF(H75=H76,"SAME TEAM","")))))</f>
        <v/>
      </c>
      <c r="Z75" s="40"/>
      <c r="AA75" t="str">
        <f>IF(Y75="NO OPPONENT","",IF(Y75&lt;&gt;"",CONCATENATE("Previous Matchup Player #: ",VLOOKUP(D75,'Tournament Details'!$C:$X,22,FALSE)),""))</f>
        <v/>
      </c>
    </row>
    <row r="76" spans="1:27" ht="15" customHeight="1" thickBot="1" x14ac:dyDescent="0.35">
      <c r="A76" s="224"/>
      <c r="B76" s="43">
        <f t="shared" si="9"/>
        <v>0</v>
      </c>
      <c r="C76" s="44" t="str">
        <f t="shared" si="13"/>
        <v/>
      </c>
      <c r="D76" s="74" t="str">
        <f>IF('Tournament Details'!A1&gt;=1,IF('Tournament Details'!C80&lt;=LARGE('Round 1'!$C:$C,1),VLOOKUP(SMALL('Round 1'!$C:$C,74),'Round 1'!$C:$D,2,FALSE),""),"")</f>
        <v/>
      </c>
      <c r="E76" s="44" t="str">
        <f>IF(D76="","",B76+VLOOKUP(D76,'Round 1'!$D:$E,2,FALSE))</f>
        <v/>
      </c>
      <c r="F76" s="44" t="str">
        <f>IF(D76="","",(LARGE('Tournament Details'!$C:$C,1)+1-D76)+E76)</f>
        <v/>
      </c>
      <c r="G76" s="24" t="str">
        <f>D75</f>
        <v/>
      </c>
      <c r="H76" s="26" t="str">
        <f>IF(D76="","",IF(VLOOKUP(D76,'Tournament Details'!$C:$G,5,FALSE)="",D76,VLOOKUP(D76,'Tournament Details'!$C:$G,5,FALSE)))</f>
        <v/>
      </c>
      <c r="I76" s="12" t="str">
        <f>IF(D76=0,"",IF(VLOOKUP(D76,'Tournament Details'!$C:$E,3,FALSE)&gt;0,VLOOKUP(D76,'Tournament Details'!$C:$E,3,FALSE),""))</f>
        <v/>
      </c>
      <c r="J76" s="124"/>
      <c r="K76" s="124"/>
      <c r="L76" s="23"/>
      <c r="M76" s="24"/>
      <c r="N76" s="24"/>
      <c r="O76" s="24"/>
      <c r="P76" s="187">
        <v>0</v>
      </c>
      <c r="Q76" s="183">
        <f t="shared" si="10"/>
        <v>0</v>
      </c>
      <c r="R76" s="135" t="str">
        <f t="shared" si="11"/>
        <v/>
      </c>
      <c r="S76" s="135" t="str">
        <f>IF(Q76="","",IF(Q75+Q76&lt;&gt;20,IF(Q75+Q76&lt;&gt;0,"!",""),""))</f>
        <v/>
      </c>
      <c r="T76" s="21" t="str">
        <f t="shared" si="12"/>
        <v/>
      </c>
      <c r="U76" s="132">
        <f>IF(D76="",0,VLOOKUP(D76,'Tournament Details'!$C:$X,22,FALSE))</f>
        <v>0</v>
      </c>
      <c r="V76" s="132">
        <f>IF(D76="",0,VLOOKUP(D76,'Tournament Details'!$C:$Y,23,FALSE))</f>
        <v>0</v>
      </c>
      <c r="W76" s="132">
        <f>IF(D76="",0,VLOOKUP(D76,'Tournament Details'!$C:$Z,24,FALSE))</f>
        <v>0</v>
      </c>
      <c r="X76" s="132">
        <f>IF(D76="",0,VLOOKUP(D76,'Tournament Details'!$C:$AA,25,FALSE))</f>
        <v>0</v>
      </c>
      <c r="Y76" s="40" t="str">
        <f>IF(D76="","",IF(COUNTIF(D:D,D76)&gt;1,"DUPLICATE PLAYER",IF(D75="","NO OPPONENT",IF(D75=U76,"REPEAT MATCHUP",IF(H76=H75,"SAME TEAM","")))))</f>
        <v/>
      </c>
      <c r="Z76" s="40"/>
      <c r="AA76" t="str">
        <f>IF(Y76="NO OPPONENT","",IF(Y76&lt;&gt;"",CONCATENATE("Previous Matchup Player #: ",VLOOKUP(D76,'Tournament Details'!$C:$X,22,FALSE)),""))</f>
        <v/>
      </c>
    </row>
    <row r="77" spans="1:27" ht="15" customHeight="1" thickBot="1" x14ac:dyDescent="0.35">
      <c r="A77" s="224" t="str">
        <f>IF('Tournament Details'!A1&gt;=1,IF(LARGE('Tournament Details'!C7:C86,1)&gt;=76,38,""),"")</f>
        <v/>
      </c>
      <c r="B77" s="42">
        <f t="shared" si="9"/>
        <v>0</v>
      </c>
      <c r="C77" s="44" t="str">
        <f t="shared" si="13"/>
        <v/>
      </c>
      <c r="D77" s="66" t="str">
        <f>IF('Tournament Details'!A1&gt;=1,IF('Tournament Details'!C81&lt;=LARGE('Round 1'!$C:$C,1),VLOOKUP(SMALL('Round 1'!$C:$C,75),'Round 1'!$C:$D,2,FALSE),""),"")</f>
        <v/>
      </c>
      <c r="E77" s="44" t="str">
        <f>IF(D77="","",B77+VLOOKUP(D77,'Round 1'!$D:$E,2,FALSE))</f>
        <v/>
      </c>
      <c r="F77" s="44" t="str">
        <f>IF(D77="","",(LARGE('Tournament Details'!$C:$C,1)+1-D77)+E77)</f>
        <v/>
      </c>
      <c r="G77" s="23" t="str">
        <f>D78</f>
        <v/>
      </c>
      <c r="H77" s="25" t="str">
        <f>IF(D77="","",IF(VLOOKUP(D77,'Tournament Details'!$C:$G,5,FALSE)="",D77,VLOOKUP(D77,'Tournament Details'!$C:$G,5,FALSE)))</f>
        <v/>
      </c>
      <c r="I77" s="7" t="str">
        <f>IF(D77=0,"",IF(VLOOKUP(D77,'Tournament Details'!$C:$E,3,FALSE)&gt;0,VLOOKUP(D77,'Tournament Details'!$C:$E,3,FALSE),""))</f>
        <v/>
      </c>
      <c r="J77" s="123"/>
      <c r="K77" s="123"/>
      <c r="L77" s="23"/>
      <c r="M77" s="23"/>
      <c r="N77" s="23"/>
      <c r="O77" s="23"/>
      <c r="P77" s="186">
        <v>0</v>
      </c>
      <c r="Q77" s="183">
        <f t="shared" si="10"/>
        <v>0</v>
      </c>
      <c r="R77" s="135" t="str">
        <f t="shared" si="11"/>
        <v/>
      </c>
      <c r="S77" s="135" t="str">
        <f>IF(Q77="","",IF(Q77+Q78&lt;&gt;20,IF(Q77+Q78&lt;&gt;0,"!",""),""))</f>
        <v/>
      </c>
      <c r="T77" s="21" t="str">
        <f t="shared" si="12"/>
        <v/>
      </c>
      <c r="U77" s="132">
        <f>IF(D77="",0,VLOOKUP(D77,'Tournament Details'!$C:$X,22,FALSE))</f>
        <v>0</v>
      </c>
      <c r="V77" s="132">
        <f>IF(D77="",0,VLOOKUP(D77,'Tournament Details'!$C:$Y,23,FALSE))</f>
        <v>0</v>
      </c>
      <c r="W77" s="132">
        <f>IF(D77="",0,VLOOKUP(D77,'Tournament Details'!$C:$Z,24,FALSE))</f>
        <v>0</v>
      </c>
      <c r="X77" s="132">
        <f>IF(D77="",0,VLOOKUP(D77,'Tournament Details'!$C:$AA,25,FALSE))</f>
        <v>0</v>
      </c>
      <c r="Y77" s="40" t="str">
        <f>IF(D77="","",IF(COUNTIF(D:D,D77)&gt;1,"DUPLICATE PLAYER",IF(D78="","NO OPPONENT",IF(D78=U77,"REPEAT MATCHUP",IF(H77=H78,"SAME TEAM","")))))</f>
        <v/>
      </c>
      <c r="Z77" s="40"/>
      <c r="AA77" t="str">
        <f>IF(Y77="NO OPPONENT","",IF(Y77&lt;&gt;"",CONCATENATE("Previous Matchup Player #: ",VLOOKUP(D77,'Tournament Details'!$C:$X,22,FALSE)),""))</f>
        <v/>
      </c>
    </row>
    <row r="78" spans="1:27" ht="15" customHeight="1" thickBot="1" x14ac:dyDescent="0.35">
      <c r="A78" s="224"/>
      <c r="B78" s="43">
        <f t="shared" si="9"/>
        <v>0</v>
      </c>
      <c r="C78" s="44" t="str">
        <f t="shared" si="13"/>
        <v/>
      </c>
      <c r="D78" s="74" t="str">
        <f>IF('Tournament Details'!A1&gt;=1,IF('Tournament Details'!C82&lt;=LARGE('Round 1'!$C:$C,1),VLOOKUP(SMALL('Round 1'!$C:$C,76),'Round 1'!$C:$D,2,FALSE),""),"")</f>
        <v/>
      </c>
      <c r="E78" s="44" t="str">
        <f>IF(D78="","",B78+VLOOKUP(D78,'Round 1'!$D:$E,2,FALSE))</f>
        <v/>
      </c>
      <c r="F78" s="44" t="str">
        <f>IF(D78="","",(LARGE('Tournament Details'!$C:$C,1)+1-D78)+E78)</f>
        <v/>
      </c>
      <c r="G78" s="24" t="str">
        <f>D77</f>
        <v/>
      </c>
      <c r="H78" s="26" t="str">
        <f>IF(D78="","",IF(VLOOKUP(D78,'Tournament Details'!$C:$G,5,FALSE)="",D78,VLOOKUP(D78,'Tournament Details'!$C:$G,5,FALSE)))</f>
        <v/>
      </c>
      <c r="I78" s="12" t="str">
        <f>IF(D78=0,"",IF(VLOOKUP(D78,'Tournament Details'!$C:$E,3,FALSE)&gt;0,VLOOKUP(D78,'Tournament Details'!$C:$E,3,FALSE),""))</f>
        <v/>
      </c>
      <c r="J78" s="124"/>
      <c r="K78" s="124"/>
      <c r="L78" s="23"/>
      <c r="M78" s="24"/>
      <c r="N78" s="24"/>
      <c r="O78" s="24"/>
      <c r="P78" s="187">
        <v>0</v>
      </c>
      <c r="Q78" s="183">
        <f t="shared" si="10"/>
        <v>0</v>
      </c>
      <c r="R78" s="135" t="str">
        <f t="shared" si="11"/>
        <v/>
      </c>
      <c r="S78" s="135" t="str">
        <f>IF(Q78="","",IF(Q77+Q78&lt;&gt;20,IF(Q77+Q78&lt;&gt;0,"!",""),""))</f>
        <v/>
      </c>
      <c r="T78" s="21" t="str">
        <f t="shared" si="12"/>
        <v/>
      </c>
      <c r="U78" s="132">
        <f>IF(D78="",0,VLOOKUP(D78,'Tournament Details'!$C:$X,22,FALSE))</f>
        <v>0</v>
      </c>
      <c r="V78" s="132">
        <f>IF(D78="",0,VLOOKUP(D78,'Tournament Details'!$C:$Y,23,FALSE))</f>
        <v>0</v>
      </c>
      <c r="W78" s="132">
        <f>IF(D78="",0,VLOOKUP(D78,'Tournament Details'!$C:$Z,24,FALSE))</f>
        <v>0</v>
      </c>
      <c r="X78" s="132">
        <f>IF(D78="",0,VLOOKUP(D78,'Tournament Details'!$C:$AA,25,FALSE))</f>
        <v>0</v>
      </c>
      <c r="Y78" s="40" t="str">
        <f>IF(D78="","",IF(COUNTIF(D:D,D78)&gt;1,"DUPLICATE PLAYER",IF(D77="","NO OPPONENT",IF(D77=U78,"REPEAT MATCHUP",IF(H78=H77,"SAME TEAM","")))))</f>
        <v/>
      </c>
      <c r="Z78" s="40"/>
      <c r="AA78" t="str">
        <f>IF(Y78="NO OPPONENT","",IF(Y78&lt;&gt;"",CONCATENATE("Previous Matchup Player #: ",VLOOKUP(D78,'Tournament Details'!$C:$X,22,FALSE)),""))</f>
        <v/>
      </c>
    </row>
    <row r="79" spans="1:27" ht="15" customHeight="1" thickBot="1" x14ac:dyDescent="0.35">
      <c r="A79" s="224" t="str">
        <f>IF('Tournament Details'!A1&gt;=1,IF(LARGE('Tournament Details'!C7:C86,1)&gt;=78,39,""),"")</f>
        <v/>
      </c>
      <c r="B79" s="42">
        <f t="shared" si="9"/>
        <v>0</v>
      </c>
      <c r="C79" s="44" t="str">
        <f t="shared" si="13"/>
        <v/>
      </c>
      <c r="D79" s="66" t="str">
        <f>IF('Tournament Details'!A1&gt;=1,IF('Tournament Details'!C83&lt;=LARGE('Round 1'!$C:$C,1),VLOOKUP(SMALL('Round 1'!$C:$C,77),'Round 1'!$C:$D,2,FALSE),""),"")</f>
        <v/>
      </c>
      <c r="E79" s="44" t="str">
        <f>IF(D79="","",B79+VLOOKUP(D79,'Round 1'!$D:$E,2,FALSE))</f>
        <v/>
      </c>
      <c r="F79" s="44" t="str">
        <f>IF(D79="","",(LARGE('Tournament Details'!$C:$C,1)+1-D79)+E79)</f>
        <v/>
      </c>
      <c r="G79" s="23" t="str">
        <f>D80</f>
        <v/>
      </c>
      <c r="H79" s="25" t="str">
        <f>IF(D79="","",IF(VLOOKUP(D79,'Tournament Details'!$C:$G,5,FALSE)="",D79,VLOOKUP(D79,'Tournament Details'!$C:$G,5,FALSE)))</f>
        <v/>
      </c>
      <c r="I79" s="7" t="str">
        <f>IF(D79=0,"",IF(VLOOKUP(D79,'Tournament Details'!$C:$E,3,FALSE)&gt;0,VLOOKUP(D79,'Tournament Details'!$C:$E,3,FALSE),""))</f>
        <v/>
      </c>
      <c r="J79" s="123"/>
      <c r="K79" s="123"/>
      <c r="L79" s="23"/>
      <c r="M79" s="23"/>
      <c r="N79" s="23"/>
      <c r="O79" s="23"/>
      <c r="P79" s="186">
        <v>0</v>
      </c>
      <c r="Q79" s="183">
        <f t="shared" si="10"/>
        <v>0</v>
      </c>
      <c r="R79" s="135" t="str">
        <f t="shared" si="11"/>
        <v/>
      </c>
      <c r="S79" s="135" t="str">
        <f>IF(Q79="","",IF(Q79+Q80&lt;&gt;20,IF(Q79+Q80&lt;&gt;0,"!",""),""))</f>
        <v/>
      </c>
      <c r="T79" s="21" t="str">
        <f t="shared" si="12"/>
        <v/>
      </c>
      <c r="U79" s="132">
        <f>IF(D79="",0,VLOOKUP(D79,'Tournament Details'!$C:$X,22,FALSE))</f>
        <v>0</v>
      </c>
      <c r="V79" s="132">
        <f>IF(D79="",0,VLOOKUP(D79,'Tournament Details'!$C:$Y,23,FALSE))</f>
        <v>0</v>
      </c>
      <c r="W79" s="132">
        <f>IF(D79="",0,VLOOKUP(D79,'Tournament Details'!$C:$Z,24,FALSE))</f>
        <v>0</v>
      </c>
      <c r="X79" s="132">
        <f>IF(D79="",0,VLOOKUP(D79,'Tournament Details'!$C:$AA,25,FALSE))</f>
        <v>0</v>
      </c>
      <c r="Y79" s="40" t="str">
        <f>IF(D79="","",IF(COUNTIF(D:D,D79)&gt;1,"DUPLICATE PLAYER",IF(D80="","NO OPPONENT",IF(D80=U79,"REPEAT MATCHUP",IF(H79=H80,"SAME TEAM","")))))</f>
        <v/>
      </c>
      <c r="Z79" s="40"/>
      <c r="AA79" t="str">
        <f>IF(Y79="NO OPPONENT","",IF(Y79&lt;&gt;"",CONCATENATE("Previous Matchup Player #: ",VLOOKUP(D79,'Tournament Details'!$C:$X,22,FALSE)),""))</f>
        <v/>
      </c>
    </row>
    <row r="80" spans="1:27" ht="15" customHeight="1" thickBot="1" x14ac:dyDescent="0.35">
      <c r="A80" s="224"/>
      <c r="B80" s="43">
        <f t="shared" si="9"/>
        <v>0</v>
      </c>
      <c r="C80" s="44" t="str">
        <f t="shared" si="13"/>
        <v/>
      </c>
      <c r="D80" s="74" t="str">
        <f>IF('Tournament Details'!A1&gt;=1,IF('Tournament Details'!C84&lt;=LARGE('Round 1'!$C:$C,1),VLOOKUP(SMALL('Round 1'!$C:$C,78),'Round 1'!$C:$D,2,FALSE),""),"")</f>
        <v/>
      </c>
      <c r="E80" s="44" t="str">
        <f>IF(D80="","",B80+VLOOKUP(D80,'Round 1'!$D:$E,2,FALSE))</f>
        <v/>
      </c>
      <c r="F80" s="44" t="str">
        <f>IF(D80="","",(LARGE('Tournament Details'!$C:$C,1)+1-D80)+E80)</f>
        <v/>
      </c>
      <c r="G80" s="24" t="str">
        <f>D79</f>
        <v/>
      </c>
      <c r="H80" s="26" t="str">
        <f>IF(D80="","",IF(VLOOKUP(D80,'Tournament Details'!$C:$G,5,FALSE)="",D80,VLOOKUP(D80,'Tournament Details'!$C:$G,5,FALSE)))</f>
        <v/>
      </c>
      <c r="I80" s="12" t="str">
        <f>IF(D80=0,"",IF(VLOOKUP(D80,'Tournament Details'!$C:$E,3,FALSE)&gt;0,VLOOKUP(D80,'Tournament Details'!$C:$E,3,FALSE),""))</f>
        <v/>
      </c>
      <c r="J80" s="124"/>
      <c r="K80" s="124"/>
      <c r="L80" s="23"/>
      <c r="M80" s="24"/>
      <c r="N80" s="24"/>
      <c r="O80" s="24"/>
      <c r="P80" s="187">
        <v>0</v>
      </c>
      <c r="Q80" s="183">
        <f t="shared" si="10"/>
        <v>0</v>
      </c>
      <c r="R80" s="135" t="str">
        <f t="shared" si="11"/>
        <v/>
      </c>
      <c r="S80" s="135" t="str">
        <f>IF(Q80="","",IF(Q79+Q80&lt;&gt;20,IF(Q79+Q80&lt;&gt;0,"!",""),""))</f>
        <v/>
      </c>
      <c r="T80" s="21" t="str">
        <f t="shared" si="12"/>
        <v/>
      </c>
      <c r="U80" s="132">
        <f>IF(D80="",0,VLOOKUP(D80,'Tournament Details'!$C:$X,22,FALSE))</f>
        <v>0</v>
      </c>
      <c r="V80" s="132">
        <f>IF(D80="",0,VLOOKUP(D80,'Tournament Details'!$C:$Y,23,FALSE))</f>
        <v>0</v>
      </c>
      <c r="W80" s="132">
        <f>IF(D80="",0,VLOOKUP(D80,'Tournament Details'!$C:$Z,24,FALSE))</f>
        <v>0</v>
      </c>
      <c r="X80" s="132">
        <f>IF(D80="",0,VLOOKUP(D80,'Tournament Details'!$C:$AA,25,FALSE))</f>
        <v>0</v>
      </c>
      <c r="Y80" s="40" t="str">
        <f>IF(D80="","",IF(COUNTIF(D:D,D80)&gt;1,"DUPLICATE PLAYER",IF(D79="","NO OPPONENT",IF(D79=U80,"REPEAT MATCHUP",IF(H80=H79,"SAME TEAM","")))))</f>
        <v/>
      </c>
      <c r="Z80" s="40"/>
      <c r="AA80" t="str">
        <f>IF(Y80="NO OPPONENT","",IF(Y80&lt;&gt;"",CONCATENATE("Previous Matchup Player #: ",VLOOKUP(D80,'Tournament Details'!$C:$X,22,FALSE)),""))</f>
        <v/>
      </c>
    </row>
    <row r="81" spans="1:27" ht="15" customHeight="1" thickBot="1" x14ac:dyDescent="0.35">
      <c r="A81" s="224" t="str">
        <f>IF('Tournament Details'!A1&gt;=1,IF(LARGE('Tournament Details'!C7:C86,1)&gt;=80,40,""),"")</f>
        <v/>
      </c>
      <c r="B81" s="42">
        <f t="shared" si="9"/>
        <v>0</v>
      </c>
      <c r="C81" s="44" t="str">
        <f t="shared" si="13"/>
        <v/>
      </c>
      <c r="D81" s="66" t="str">
        <f>IF('Tournament Details'!A1&gt;=1,IF('Tournament Details'!C85&lt;=LARGE('Round 1'!$C:$C,1),VLOOKUP(SMALL('Round 1'!$C:$C,79),'Round 1'!$C:$D,2,FALSE),""),"")</f>
        <v/>
      </c>
      <c r="E81" s="44" t="str">
        <f>IF(D81="","",B81+VLOOKUP(D81,'Round 1'!$D:$E,2,FALSE))</f>
        <v/>
      </c>
      <c r="F81" s="44" t="str">
        <f>IF(D81="","",(LARGE('Tournament Details'!$C:$C,1)+1-D81)+E81)</f>
        <v/>
      </c>
      <c r="G81" s="23" t="str">
        <f>D82</f>
        <v/>
      </c>
      <c r="H81" s="25" t="str">
        <f>IF(D81="","",IF(VLOOKUP(D81,'Tournament Details'!$C:$G,5,FALSE)="",D81,VLOOKUP(D81,'Tournament Details'!$C:$G,5,FALSE)))</f>
        <v/>
      </c>
      <c r="I81" s="7" t="str">
        <f>IF(D81=0,"",IF(VLOOKUP(D81,'Tournament Details'!$C:$E,3,FALSE)&gt;0,VLOOKUP(D81,'Tournament Details'!$C:$E,3,FALSE),""))</f>
        <v/>
      </c>
      <c r="J81" s="123"/>
      <c r="K81" s="123"/>
      <c r="L81" s="23"/>
      <c r="M81" s="23"/>
      <c r="N81" s="23"/>
      <c r="O81" s="23"/>
      <c r="P81" s="186">
        <v>0</v>
      </c>
      <c r="Q81" s="183">
        <f t="shared" si="10"/>
        <v>0</v>
      </c>
      <c r="R81" s="135" t="str">
        <f t="shared" si="11"/>
        <v/>
      </c>
      <c r="S81" s="135" t="str">
        <f>IF(Q81="","",IF(Q81+Q82&lt;&gt;20,IF(Q81+Q82&lt;&gt;0,"!",""),""))</f>
        <v/>
      </c>
      <c r="T81" s="21" t="str">
        <f t="shared" si="12"/>
        <v/>
      </c>
      <c r="U81" s="132">
        <f>IF(D81="",0,VLOOKUP(D81,'Tournament Details'!$C:$X,22,FALSE))</f>
        <v>0</v>
      </c>
      <c r="V81" s="132">
        <f>IF(D81="",0,VLOOKUP(D81,'Tournament Details'!$C:$Y,23,FALSE))</f>
        <v>0</v>
      </c>
      <c r="W81" s="132">
        <f>IF(D81="",0,VLOOKUP(D81,'Tournament Details'!$C:$Z,24,FALSE))</f>
        <v>0</v>
      </c>
      <c r="X81" s="132">
        <f>IF(D81="",0,VLOOKUP(D81,'Tournament Details'!$C:$AA,25,FALSE))</f>
        <v>0</v>
      </c>
      <c r="Y81" s="40" t="str">
        <f>IF(D81="","",IF(COUNTIF(D:D,D81)&gt;1,"DUPLICATE PLAYER",IF(D82="","NO OPPONENT",IF(D82=U81,"REPEAT MATCHUP",IF(H81=H82,"SAME TEAM","")))))</f>
        <v/>
      </c>
      <c r="Z81" s="40"/>
      <c r="AA81" t="str">
        <f>IF(Y81="NO OPPONENT","",IF(Y81&lt;&gt;"",CONCATENATE("Previous Matchup Player #: ",VLOOKUP(D81,'Tournament Details'!$C:$X,22,FALSE)),""))</f>
        <v/>
      </c>
    </row>
    <row r="82" spans="1:27" ht="15" customHeight="1" thickBot="1" x14ac:dyDescent="0.35">
      <c r="A82" s="224"/>
      <c r="B82" s="43">
        <f t="shared" si="9"/>
        <v>0</v>
      </c>
      <c r="C82" s="44" t="str">
        <f t="shared" si="13"/>
        <v/>
      </c>
      <c r="D82" s="74" t="str">
        <f>IF('Tournament Details'!A1&gt;=1,IF('Tournament Details'!C86&lt;=LARGE('Round 1'!$C:$C,1),VLOOKUP(SMALL('Round 1'!$C:$C,80),'Round 1'!$C:$D,2,FALSE),""),"")</f>
        <v/>
      </c>
      <c r="E82" s="44" t="str">
        <f>IF(D82="","",B82+VLOOKUP(D82,'Round 1'!$D:$E,2,FALSE))</f>
        <v/>
      </c>
      <c r="F82" s="44" t="str">
        <f>IF(D82="","",(LARGE('Tournament Details'!$C:$C,1)+1-D82)+E82)</f>
        <v/>
      </c>
      <c r="G82" s="24" t="str">
        <f>D81</f>
        <v/>
      </c>
      <c r="H82" s="26" t="str">
        <f>IF(D82="","",IF(VLOOKUP(D82,'Tournament Details'!$C:$G,5,FALSE)="",D82,VLOOKUP(D82,'Tournament Details'!$C:$G,5,FALSE)))</f>
        <v/>
      </c>
      <c r="I82" s="12" t="str">
        <f>IF(D82=0,"",IF(VLOOKUP(D82,'Tournament Details'!$C:$E,3,FALSE)&gt;0,VLOOKUP(D82,'Tournament Details'!$C:$E,3,FALSE),""))</f>
        <v/>
      </c>
      <c r="J82" s="124"/>
      <c r="K82" s="124"/>
      <c r="L82" s="23"/>
      <c r="M82" s="24"/>
      <c r="N82" s="24"/>
      <c r="O82" s="24"/>
      <c r="P82" s="187">
        <v>0</v>
      </c>
      <c r="Q82" s="183">
        <f t="shared" si="10"/>
        <v>0</v>
      </c>
      <c r="R82" s="135" t="str">
        <f t="shared" si="11"/>
        <v/>
      </c>
      <c r="S82" s="135" t="str">
        <f>IF(Q82="","",IF(Q81+Q82&lt;&gt;20,IF(Q81+Q82&lt;&gt;0,"!",""),""))</f>
        <v/>
      </c>
      <c r="T82" s="21" t="str">
        <f t="shared" si="12"/>
        <v/>
      </c>
      <c r="U82" s="132">
        <f>IF(D82="",0,VLOOKUP(D82,'Tournament Details'!$C:$X,22,FALSE))</f>
        <v>0</v>
      </c>
      <c r="V82" s="132">
        <f>IF(D82="",0,VLOOKUP(D82,'Tournament Details'!$C:$Y,23,FALSE))</f>
        <v>0</v>
      </c>
      <c r="W82" s="132">
        <f>IF(D82="",0,VLOOKUP(D82,'Tournament Details'!$C:$Z,24,FALSE))</f>
        <v>0</v>
      </c>
      <c r="X82" s="132">
        <f>IF(D82="",0,VLOOKUP(D82,'Tournament Details'!$C:$AA,25,FALSE))</f>
        <v>0</v>
      </c>
      <c r="Y82" s="40" t="str">
        <f>IF(D82="","",IF(COUNTIF(D:D,D82)&gt;1,"DUPLICATE PLAYER",IF(D81="","NO OPPONENT",IF(D81=U82,"REPEAT MATCHUP",IF(H82=H81,"SAME TEAM","")))))</f>
        <v/>
      </c>
      <c r="Z82" s="40"/>
      <c r="AA82" t="str">
        <f>IF(Y82="NO OPPONENT","",IF(Y82&lt;&gt;"",CONCATENATE("Previous Matchup Player #: ",VLOOKUP(D82,'Tournament Details'!$C:$X,22,FALSE)),""))</f>
        <v/>
      </c>
    </row>
  </sheetData>
  <sheetProtection algorithmName="SHA-512" hashValue="4o3MJv75COv/7qje/6C0d9Q6JvrvyF5v85UOBqr9XjGaJbIqYdlq+8hGna8fTQ+QxwT3jPc9SpXUyXcdYv4XfA==" saltValue="293YmwVW0vGfv7e/dXqCxA==" spinCount="100000" sheet="1" selectLockedCells="1"/>
  <mergeCells count="42">
    <mergeCell ref="Y1:AA2"/>
    <mergeCell ref="A73:A74"/>
    <mergeCell ref="A75:A76"/>
    <mergeCell ref="A77:A78"/>
    <mergeCell ref="A79:A80"/>
    <mergeCell ref="A47:A48"/>
    <mergeCell ref="A25:A26"/>
    <mergeCell ref="A27:A28"/>
    <mergeCell ref="A29:A30"/>
    <mergeCell ref="A31:A32"/>
    <mergeCell ref="A33:A34"/>
    <mergeCell ref="A35:A36"/>
    <mergeCell ref="A37:A38"/>
    <mergeCell ref="A39:A40"/>
    <mergeCell ref="A41:A42"/>
    <mergeCell ref="A43:A44"/>
    <mergeCell ref="A81:A82"/>
    <mergeCell ref="A71:A72"/>
    <mergeCell ref="A49:A50"/>
    <mergeCell ref="A51:A52"/>
    <mergeCell ref="A53:A54"/>
    <mergeCell ref="A55:A56"/>
    <mergeCell ref="A57:A58"/>
    <mergeCell ref="A59:A60"/>
    <mergeCell ref="A61:A62"/>
    <mergeCell ref="A63:A64"/>
    <mergeCell ref="A65:A66"/>
    <mergeCell ref="A67:A68"/>
    <mergeCell ref="A69:A70"/>
    <mergeCell ref="A45:A46"/>
    <mergeCell ref="A23:A24"/>
    <mergeCell ref="A1:Q1"/>
    <mergeCell ref="A3:A4"/>
    <mergeCell ref="A5:A6"/>
    <mergeCell ref="A7:A8"/>
    <mergeCell ref="A9:A10"/>
    <mergeCell ref="A11:A12"/>
    <mergeCell ref="A13:A14"/>
    <mergeCell ref="A15:A16"/>
    <mergeCell ref="A17:A18"/>
    <mergeCell ref="A19:A20"/>
    <mergeCell ref="A21:A22"/>
  </mergeCells>
  <conditionalFormatting sqref="D3:D82">
    <cfRule type="cellIs" dxfId="35" priority="8" operator="equal">
      <formula>0</formula>
    </cfRule>
  </conditionalFormatting>
  <conditionalFormatting sqref="Z3:Z82">
    <cfRule type="notContainsBlanks" dxfId="34" priority="6">
      <formula>LEN(TRIM(Z3))&gt;0</formula>
    </cfRule>
  </conditionalFormatting>
  <conditionalFormatting sqref="G3:G82">
    <cfRule type="cellIs" dxfId="33" priority="5" operator="equal">
      <formula>0</formula>
    </cfRule>
  </conditionalFormatting>
  <conditionalFormatting sqref="H3:H82">
    <cfRule type="cellIs" dxfId="32" priority="3" operator="between">
      <formula>1</formula>
      <formula>10000</formula>
    </cfRule>
    <cfRule type="cellIs" dxfId="31" priority="4" operator="equal">
      <formula>0</formula>
    </cfRule>
  </conditionalFormatting>
  <conditionalFormatting sqref="A3:A82">
    <cfRule type="notContainsBlanks" dxfId="30" priority="2">
      <formula>LEN(TRIM(A3))&gt;0</formula>
    </cfRule>
  </conditionalFormatting>
  <conditionalFormatting sqref="Y3:Y82">
    <cfRule type="notContainsBlanks" dxfId="29" priority="1">
      <formula>LEN(TRIM(Y3))&gt;0</formula>
    </cfRule>
  </conditionalFormatting>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A82"/>
  <sheetViews>
    <sheetView showGridLines="0" showRowColHeaders="0" zoomScaleNormal="100" workbookViewId="0">
      <pane ySplit="2" topLeftCell="A3" activePane="bottomLeft" state="frozen"/>
      <selection pane="bottomLeft" activeCell="K3" sqref="K3"/>
    </sheetView>
  </sheetViews>
  <sheetFormatPr defaultRowHeight="14.4" x14ac:dyDescent="0.3"/>
  <cols>
    <col min="1" max="1" width="12.44140625" bestFit="1" customWidth="1"/>
    <col min="2" max="3" width="12.44140625" hidden="1" customWidth="1"/>
    <col min="5" max="6" width="12.44140625" hidden="1" customWidth="1"/>
    <col min="7" max="7" width="11" hidden="1" customWidth="1"/>
    <col min="8" max="8" width="23.109375" customWidth="1"/>
    <col min="9" max="9" width="52.33203125" customWidth="1"/>
    <col min="10" max="10" width="8.88671875" hidden="1" customWidth="1"/>
    <col min="12" max="15" width="8.88671875" hidden="1" customWidth="1"/>
    <col min="16" max="16" width="8.88671875" customWidth="1"/>
    <col min="17" max="17" width="0" hidden="1" customWidth="1"/>
    <col min="18" max="19" width="4.33203125" style="136" hidden="1" customWidth="1"/>
    <col min="20" max="20" width="4.33203125" customWidth="1"/>
    <col min="21" max="24" width="4.33203125" hidden="1" customWidth="1"/>
    <col min="25" max="25" width="17.77734375" customWidth="1"/>
    <col min="26" max="26" width="1.6640625" customWidth="1"/>
    <col min="27" max="27" width="66.5546875" customWidth="1"/>
  </cols>
  <sheetData>
    <row r="1" spans="1:27" ht="24" thickBot="1" x14ac:dyDescent="0.5">
      <c r="A1" s="239" t="s">
        <v>30</v>
      </c>
      <c r="B1" s="240"/>
      <c r="C1" s="240"/>
      <c r="D1" s="240"/>
      <c r="E1" s="240"/>
      <c r="F1" s="240"/>
      <c r="G1" s="240"/>
      <c r="H1" s="240"/>
      <c r="I1" s="240"/>
      <c r="J1" s="240"/>
      <c r="K1" s="240"/>
      <c r="L1" s="240"/>
      <c r="M1" s="240"/>
      <c r="N1" s="240"/>
      <c r="O1" s="240"/>
      <c r="P1" s="240"/>
      <c r="Q1" s="241"/>
      <c r="R1" s="133"/>
      <c r="S1" s="133"/>
      <c r="Y1" s="226" t="s">
        <v>115</v>
      </c>
      <c r="Z1" s="227"/>
      <c r="AA1" s="228"/>
    </row>
    <row r="2" spans="1:27" ht="15" thickBot="1" x14ac:dyDescent="0.35">
      <c r="A2" s="5" t="s">
        <v>0</v>
      </c>
      <c r="B2" s="33" t="s">
        <v>21</v>
      </c>
      <c r="C2" s="33" t="s">
        <v>29</v>
      </c>
      <c r="D2" s="32" t="s">
        <v>1</v>
      </c>
      <c r="E2" s="33" t="s">
        <v>27</v>
      </c>
      <c r="F2" s="38" t="s">
        <v>28</v>
      </c>
      <c r="G2" s="38" t="s">
        <v>25</v>
      </c>
      <c r="H2" s="32" t="s">
        <v>26</v>
      </c>
      <c r="I2" s="41" t="s">
        <v>2</v>
      </c>
      <c r="J2" s="45" t="s">
        <v>4</v>
      </c>
      <c r="K2" s="46" t="s">
        <v>3</v>
      </c>
      <c r="L2" s="22" t="s">
        <v>17</v>
      </c>
      <c r="M2" s="22" t="s">
        <v>19</v>
      </c>
      <c r="N2" s="22" t="s">
        <v>16</v>
      </c>
      <c r="O2" s="22" t="s">
        <v>18</v>
      </c>
      <c r="P2" s="46" t="s">
        <v>4</v>
      </c>
      <c r="Q2" s="47" t="s">
        <v>5</v>
      </c>
      <c r="R2" s="134"/>
      <c r="S2" s="134"/>
      <c r="Y2" s="229"/>
      <c r="Z2" s="230"/>
      <c r="AA2" s="231"/>
    </row>
    <row r="3" spans="1:27" ht="15" customHeight="1" thickBot="1" x14ac:dyDescent="0.35">
      <c r="A3" s="225" t="str">
        <f>IF('Tournament Details'!A1&gt;=1,IF(LARGE('Tournament Details'!C7:C86,1)&gt;=2,1,""),"")</f>
        <v/>
      </c>
      <c r="B3" s="42">
        <f t="shared" ref="B3:B34" si="0">IF(Q3="","",(Q3*10000)+K3)</f>
        <v>0</v>
      </c>
      <c r="C3" s="44" t="str">
        <f>IF(D3="","",IF(COUNTIF(E:E,E3)=1,RANK(E3,E:E),RANK(F3,F:F)))</f>
        <v/>
      </c>
      <c r="D3" s="66" t="str">
        <f>IF('Tournament Details'!A1&gt;=1,IF('Tournament Details'!C7&lt;=LARGE('Round 2'!$C:$C,1),VLOOKUP(SMALL('Round 2'!$C:$C,1),'Round 2'!$C:$D,2,FALSE),""),"")</f>
        <v/>
      </c>
      <c r="E3" s="44" t="str">
        <f>IF(D3="","",B3+VLOOKUP(D3,'Round 2'!$D:$E,2,FALSE))</f>
        <v/>
      </c>
      <c r="F3" s="44" t="str">
        <f>IF(D3="","",(LARGE('Tournament Details'!$C:$C,1)+1-D3)+E3)</f>
        <v/>
      </c>
      <c r="G3" s="23" t="str">
        <f>D4</f>
        <v/>
      </c>
      <c r="H3" s="25" t="str">
        <f>IF(D3="","",IF(VLOOKUP(D3,'Tournament Details'!$C:$G,5,FALSE)="",D3,VLOOKUP(D3,'Tournament Details'!$C:$G,5,FALSE)))</f>
        <v/>
      </c>
      <c r="I3" s="7" t="str">
        <f>IF(D3=0,"",IF(VLOOKUP(D3,'Tournament Details'!$C:$E,3,FALSE)&gt;0,VLOOKUP(D3,'Tournament Details'!$C:$E,3,FALSE),""))</f>
        <v/>
      </c>
      <c r="J3" s="125"/>
      <c r="K3" s="125"/>
      <c r="L3" s="23"/>
      <c r="M3" s="23"/>
      <c r="N3" s="23"/>
      <c r="O3" s="23"/>
      <c r="P3" s="188">
        <v>0</v>
      </c>
      <c r="Q3" s="183">
        <f t="shared" ref="Q3:Q34" si="1">IF(P3="",0,P3)</f>
        <v>0</v>
      </c>
      <c r="R3" s="135" t="str">
        <f t="shared" ref="R3:R34" si="2">IF(J3="","",IF(J3&gt;16,"!",IF(J3&lt;4,"!","")))</f>
        <v/>
      </c>
      <c r="S3" s="135" t="str">
        <f>IF(Q3="","",IF(Q3+VLOOKUP(G3,D:Q,14,FALSE)&lt;&gt;20,IF(Q3+VLOOKUP(G3,D:Q,14,FALSE)&lt;&gt;0,"!",""),""))</f>
        <v/>
      </c>
      <c r="T3" s="21" t="str">
        <f t="shared" ref="T3:T34" si="3">IF(R3="!","!",IF(S3="!","!",""))</f>
        <v/>
      </c>
      <c r="U3" s="132">
        <f>IF(D3="",0,VLOOKUP(D3,'Tournament Details'!$C:$X,22,FALSE))</f>
        <v>0</v>
      </c>
      <c r="V3" s="132">
        <f>IF(D3="",0,VLOOKUP(D3,'Tournament Details'!$C:$Y,23,FALSE))</f>
        <v>0</v>
      </c>
      <c r="W3" s="132">
        <f>IF(D3="",0,VLOOKUP(D3,'Tournament Details'!$C:$Z,24,FALSE))</f>
        <v>0</v>
      </c>
      <c r="X3" s="132">
        <f>IF(D3="",0,VLOOKUP(D3,'Tournament Details'!$C:$AA,25,FALSE))</f>
        <v>0</v>
      </c>
      <c r="Y3" s="40" t="str">
        <f>IF(D3="","",IF(COUNTIF(D:D,D3)&gt;1,"DUPLICATE PLAYER",IF(D4="","NO OPPONENT",IF(D4=U3,"REPEAT MATCHUP",IF(D4=V3,"REPEAT MATCHUP",IF(H3=H4,"SAME TEAM",""))))))</f>
        <v/>
      </c>
      <c r="Z3" s="40"/>
      <c r="AA3" t="str">
        <f>IF(Y3="NO OPPONENT","",IF(Y3&lt;&gt;"",CONCATENATE("Previous Matchup Player #: ",VLOOKUP(D3,'Tournament Details'!$C:$X,22,FALSE)," - ",VLOOKUP(D3,'Tournament Details'!$C:$Y,23,FALSE)),""))</f>
        <v/>
      </c>
    </row>
    <row r="4" spans="1:27" ht="15" customHeight="1" thickBot="1" x14ac:dyDescent="0.35">
      <c r="A4" s="224"/>
      <c r="B4" s="43">
        <f t="shared" si="0"/>
        <v>0</v>
      </c>
      <c r="C4" s="44" t="str">
        <f t="shared" ref="C4:C67" si="4">IF(D4="","",IF(COUNTIF(E:E,E4)=1,RANK(E4,E:E),RANK(F4,F:F)))</f>
        <v/>
      </c>
      <c r="D4" s="74" t="str">
        <f>IF('Tournament Details'!A1&gt;=1,IF('Tournament Details'!C8&lt;=LARGE('Round 2'!$C:$C,1),VLOOKUP(SMALL('Round 2'!$C:$C,2),'Round 2'!$C:$D,2,FALSE),""),"")</f>
        <v/>
      </c>
      <c r="E4" s="44" t="str">
        <f>IF(D4="","",B4+VLOOKUP(D4,'Round 2'!$D:$E,2,FALSE))</f>
        <v/>
      </c>
      <c r="F4" s="44" t="str">
        <f>IF(D4="","",(LARGE('Tournament Details'!$C:$C,1)+1-D4)+E4)</f>
        <v/>
      </c>
      <c r="G4" s="24" t="str">
        <f>D3</f>
        <v/>
      </c>
      <c r="H4" s="26" t="str">
        <f>IF(D4="","",IF(VLOOKUP(D4,'Tournament Details'!$C:$G,5,FALSE)="",D4,VLOOKUP(D4,'Tournament Details'!$C:$G,5,FALSE)))</f>
        <v/>
      </c>
      <c r="I4" s="12" t="str">
        <f>IF(D4=0,"",IF(VLOOKUP(D4,'Tournament Details'!$C:$E,3,FALSE)&gt;0,VLOOKUP(D4,'Tournament Details'!$C:$E,3,FALSE),""))</f>
        <v/>
      </c>
      <c r="J4" s="126"/>
      <c r="K4" s="126"/>
      <c r="L4" s="23"/>
      <c r="M4" s="24"/>
      <c r="N4" s="24"/>
      <c r="O4" s="24"/>
      <c r="P4" s="189">
        <v>0</v>
      </c>
      <c r="Q4" s="183">
        <f t="shared" si="1"/>
        <v>0</v>
      </c>
      <c r="R4" s="135" t="str">
        <f t="shared" si="2"/>
        <v/>
      </c>
      <c r="S4" s="135" t="str">
        <f>IF(Q4="","",IF(Q4+VLOOKUP(G4,D:Q,14,FALSE)&lt;&gt;20,IF(Q4+VLOOKUP(G4,D:Q,14,FALSE)&lt;&gt;0,"!",""),""))</f>
        <v/>
      </c>
      <c r="T4" s="21" t="str">
        <f t="shared" si="3"/>
        <v/>
      </c>
      <c r="U4" s="132">
        <f>IF(D4="",0,VLOOKUP(D4,'Tournament Details'!$C:$X,22,FALSE))</f>
        <v>0</v>
      </c>
      <c r="V4" s="132">
        <f>IF(D4="",0,VLOOKUP(D4,'Tournament Details'!$C:$Y,23,FALSE))</f>
        <v>0</v>
      </c>
      <c r="W4" s="132">
        <f>IF(D4="",0,VLOOKUP(D4,'Tournament Details'!$C:$Z,24,FALSE))</f>
        <v>0</v>
      </c>
      <c r="X4" s="132">
        <f>IF(D4="",0,VLOOKUP(D4,'Tournament Details'!$C:$AA,25,FALSE))</f>
        <v>0</v>
      </c>
      <c r="Y4" s="40" t="str">
        <f>IF(D4="","",IF(COUNTIF(D:D,D4)&gt;1,"DUPLICATE PLAYER",IF(D3="","NO OPPONENT",IF(D3=U4,"REPEAT MATCHUP",IF(D3=V4,"REPEAT MATCHUP",IF(H4=H3,"SAME TEAM",""))))))</f>
        <v/>
      </c>
      <c r="Z4" s="40"/>
      <c r="AA4" t="str">
        <f>IF(Y4="NO OPPONENT","",IF(Y4&lt;&gt;"",CONCATENATE("Previous Matchup Player #: ",VLOOKUP(D4,'Tournament Details'!$C:$X,22,FALSE)," - ",VLOOKUP(D4,'Tournament Details'!$C:$Y,23,FALSE)),""))</f>
        <v/>
      </c>
    </row>
    <row r="5" spans="1:27" ht="15" customHeight="1" thickBot="1" x14ac:dyDescent="0.35">
      <c r="A5" s="224" t="str">
        <f>IF('Tournament Details'!A1&gt;=1,IF(LARGE('Tournament Details'!C7:C86,1)&gt;=4,2,""),"")</f>
        <v/>
      </c>
      <c r="B5" s="42">
        <f t="shared" si="0"/>
        <v>0</v>
      </c>
      <c r="C5" s="44" t="str">
        <f t="shared" si="4"/>
        <v/>
      </c>
      <c r="D5" s="66" t="str">
        <f>IF('Tournament Details'!A1&gt;=1,IF('Tournament Details'!C9&lt;=LARGE('Round 2'!$C:$C,1),VLOOKUP(SMALL('Round 2'!$C:$C,3),'Round 2'!$C:$D,2,FALSE),""),"")</f>
        <v/>
      </c>
      <c r="E5" s="44" t="str">
        <f>IF(D5="","",B5+VLOOKUP(D5,'Round 2'!$D:$E,2,FALSE))</f>
        <v/>
      </c>
      <c r="F5" s="44" t="str">
        <f>IF(D5="","",(LARGE('Tournament Details'!$C:$C,1)+1-D5)+E5)</f>
        <v/>
      </c>
      <c r="G5" s="23" t="str">
        <f>D6</f>
        <v/>
      </c>
      <c r="H5" s="25" t="str">
        <f>IF(D5="","",IF(VLOOKUP(D5,'Tournament Details'!$C:$G,5,FALSE)="",D5,VLOOKUP(D5,'Tournament Details'!$C:$G,5,FALSE)))</f>
        <v/>
      </c>
      <c r="I5" s="7" t="str">
        <f>IF(D5=0,"",IF(VLOOKUP(D5,'Tournament Details'!$C:$E,3,FALSE)&gt;0,VLOOKUP(D5,'Tournament Details'!$C:$E,3,FALSE),""))</f>
        <v/>
      </c>
      <c r="J5" s="125"/>
      <c r="K5" s="125"/>
      <c r="L5" s="23"/>
      <c r="M5" s="23"/>
      <c r="N5" s="23"/>
      <c r="O5" s="23"/>
      <c r="P5" s="188">
        <v>0</v>
      </c>
      <c r="Q5" s="183">
        <f t="shared" si="1"/>
        <v>0</v>
      </c>
      <c r="R5" s="135" t="str">
        <f t="shared" si="2"/>
        <v/>
      </c>
      <c r="S5" s="135" t="str">
        <f>IF(Q5="","",IF(Q5+Q6&lt;&gt;20,IF(Q5+Q6&lt;&gt;0,"!",""),""))</f>
        <v/>
      </c>
      <c r="T5" s="21" t="str">
        <f t="shared" si="3"/>
        <v/>
      </c>
      <c r="U5" s="132">
        <f>IF(D5="",0,VLOOKUP(D5,'Tournament Details'!$C:$X,22,FALSE))</f>
        <v>0</v>
      </c>
      <c r="V5" s="132">
        <f>IF(D5="",0,VLOOKUP(D5,'Tournament Details'!$C:$Y,23,FALSE))</f>
        <v>0</v>
      </c>
      <c r="W5" s="132">
        <f>IF(D5="",0,VLOOKUP(D5,'Tournament Details'!$C:$Z,24,FALSE))</f>
        <v>0</v>
      </c>
      <c r="X5" s="132">
        <f>IF(D5="",0,VLOOKUP(D5,'Tournament Details'!$C:$AA,25,FALSE))</f>
        <v>0</v>
      </c>
      <c r="Y5" s="40" t="str">
        <f>IF(D5="","",IF(COUNTIF(D:D,D5)&gt;1,"DUPLICATE PLAYER",IF(D6="","NO OPPONENT",IF(D6=U5,"REPEAT MATCHUP",IF(D6=V5,"REPEAT MATCHUP",IF(H5=H6,"SAME TEAM",""))))))</f>
        <v/>
      </c>
      <c r="Z5" s="40"/>
      <c r="AA5" t="str">
        <f>IF(Y5="NO OPPONENT","",IF(Y5&lt;&gt;"",CONCATENATE("Previous Matchup Player #: ",VLOOKUP(D5,'Tournament Details'!$C:$X,22,FALSE)," - ",VLOOKUP(D5,'Tournament Details'!$C:$Y,23,FALSE)),""))</f>
        <v/>
      </c>
    </row>
    <row r="6" spans="1:27" ht="15" customHeight="1" thickBot="1" x14ac:dyDescent="0.35">
      <c r="A6" s="224"/>
      <c r="B6" s="43">
        <f t="shared" si="0"/>
        <v>0</v>
      </c>
      <c r="C6" s="44" t="str">
        <f t="shared" si="4"/>
        <v/>
      </c>
      <c r="D6" s="74" t="str">
        <f>IF('Tournament Details'!A1&gt;=1,IF('Tournament Details'!C10&lt;=LARGE('Round 2'!$C:$C,1),VLOOKUP(SMALL('Round 2'!$C:$C,4),'Round 2'!$C:$D,2,FALSE),""),"")</f>
        <v/>
      </c>
      <c r="E6" s="44" t="str">
        <f>IF(D6="","",B6+VLOOKUP(D6,'Round 2'!$D:$E,2,FALSE))</f>
        <v/>
      </c>
      <c r="F6" s="44" t="str">
        <f>IF(D6="","",(LARGE('Tournament Details'!$C:$C,1)+1-D6)+E6)</f>
        <v/>
      </c>
      <c r="G6" s="24" t="str">
        <f>D5</f>
        <v/>
      </c>
      <c r="H6" s="26" t="str">
        <f>IF(D6="","",IF(VLOOKUP(D6,'Tournament Details'!$C:$G,5,FALSE)="",D6,VLOOKUP(D6,'Tournament Details'!$C:$G,5,FALSE)))</f>
        <v/>
      </c>
      <c r="I6" s="12" t="str">
        <f>IF(D6=0,"",IF(VLOOKUP(D6,'Tournament Details'!$C:$E,3,FALSE)&gt;0,VLOOKUP(D6,'Tournament Details'!$C:$E,3,FALSE),""))</f>
        <v/>
      </c>
      <c r="J6" s="126"/>
      <c r="K6" s="126"/>
      <c r="L6" s="23"/>
      <c r="M6" s="24"/>
      <c r="N6" s="24"/>
      <c r="O6" s="24"/>
      <c r="P6" s="189">
        <v>0</v>
      </c>
      <c r="Q6" s="183">
        <f t="shared" si="1"/>
        <v>0</v>
      </c>
      <c r="R6" s="135" t="str">
        <f t="shared" si="2"/>
        <v/>
      </c>
      <c r="S6" s="135" t="str">
        <f>IF(Q6="","",IF(Q5+Q6&lt;&gt;20,IF(Q5+Q6&lt;&gt;0,"!",""),""))</f>
        <v/>
      </c>
      <c r="T6" s="21" t="str">
        <f t="shared" si="3"/>
        <v/>
      </c>
      <c r="U6" s="132">
        <f>IF(D6="",0,VLOOKUP(D6,'Tournament Details'!$C:$X,22,FALSE))</f>
        <v>0</v>
      </c>
      <c r="V6" s="132">
        <f>IF(D6="",0,VLOOKUP(D6,'Tournament Details'!$C:$Y,23,FALSE))</f>
        <v>0</v>
      </c>
      <c r="W6" s="132">
        <f>IF(D6="",0,VLOOKUP(D6,'Tournament Details'!$C:$Z,24,FALSE))</f>
        <v>0</v>
      </c>
      <c r="X6" s="132">
        <f>IF(D6="",0,VLOOKUP(D6,'Tournament Details'!$C:$AA,25,FALSE))</f>
        <v>0</v>
      </c>
      <c r="Y6" s="40" t="str">
        <f>IF(D6="","",IF(COUNTIF(D:D,D6)&gt;1,"DUPLICATE PLAYER",IF(D5="","NO OPPONENT",IF(D5=U6,"REPEAT MATCHUP",IF(D5=V6,"REPEAT MATCHUP",IF(H6=H5,"SAME TEAM",""))))))</f>
        <v/>
      </c>
      <c r="Z6" s="40"/>
      <c r="AA6" t="str">
        <f>IF(Y6="NO OPPONENT","",IF(Y6&lt;&gt;"",CONCATENATE("Previous Matchup Player #: ",VLOOKUP(D6,'Tournament Details'!$C:$X,22,FALSE)," - ",VLOOKUP(D6,'Tournament Details'!$C:$Y,23,FALSE)),""))</f>
        <v/>
      </c>
    </row>
    <row r="7" spans="1:27" ht="15" customHeight="1" thickBot="1" x14ac:dyDescent="0.35">
      <c r="A7" s="224" t="str">
        <f>IF('Tournament Details'!A1&gt;=1,IF(LARGE('Tournament Details'!C7:C86,1)&gt;=6,3,""),"")</f>
        <v/>
      </c>
      <c r="B7" s="42">
        <f t="shared" si="0"/>
        <v>0</v>
      </c>
      <c r="C7" s="44" t="str">
        <f t="shared" si="4"/>
        <v/>
      </c>
      <c r="D7" s="66" t="str">
        <f>IF('Tournament Details'!A1&gt;=1,IF('Tournament Details'!C11&lt;=LARGE('Round 2'!$C:$C,1),VLOOKUP(SMALL('Round 2'!$C:$C,5),'Round 2'!$C:$D,2,FALSE),""),"")</f>
        <v/>
      </c>
      <c r="E7" s="44" t="str">
        <f>IF(D7="","",B7+VLOOKUP(D7,'Round 2'!$D:$E,2,FALSE))</f>
        <v/>
      </c>
      <c r="F7" s="44" t="str">
        <f>IF(D7="","",(LARGE('Tournament Details'!$C:$C,1)+1-D7)+E7)</f>
        <v/>
      </c>
      <c r="G7" s="23" t="str">
        <f>D8</f>
        <v/>
      </c>
      <c r="H7" s="25" t="str">
        <f>IF(D7="","",IF(VLOOKUP(D7,'Tournament Details'!$C:$G,5,FALSE)="",D7,VLOOKUP(D7,'Tournament Details'!$C:$G,5,FALSE)))</f>
        <v/>
      </c>
      <c r="I7" s="7" t="str">
        <f>IF(D7=0,"",IF(VLOOKUP(D7,'Tournament Details'!$C:$E,3,FALSE)&gt;0,VLOOKUP(D7,'Tournament Details'!$C:$E,3,FALSE),""))</f>
        <v/>
      </c>
      <c r="J7" s="125"/>
      <c r="K7" s="125"/>
      <c r="L7" s="23"/>
      <c r="M7" s="23"/>
      <c r="N7" s="23"/>
      <c r="O7" s="23"/>
      <c r="P7" s="188">
        <v>0</v>
      </c>
      <c r="Q7" s="183">
        <f t="shared" si="1"/>
        <v>0</v>
      </c>
      <c r="R7" s="135" t="str">
        <f t="shared" si="2"/>
        <v/>
      </c>
      <c r="S7" s="135" t="str">
        <f>IF(Q7="","",IF(Q7+Q8&lt;&gt;20,IF(Q7+Q8&lt;&gt;0,"!",""),""))</f>
        <v/>
      </c>
      <c r="T7" s="21" t="str">
        <f t="shared" si="3"/>
        <v/>
      </c>
      <c r="U7" s="132">
        <f>IF(D7="",0,VLOOKUP(D7,'Tournament Details'!$C:$X,22,FALSE))</f>
        <v>0</v>
      </c>
      <c r="V7" s="132">
        <f>IF(D7="",0,VLOOKUP(D7,'Tournament Details'!$C:$Y,23,FALSE))</f>
        <v>0</v>
      </c>
      <c r="W7" s="132">
        <f>IF(D7="",0,VLOOKUP(D7,'Tournament Details'!$C:$Z,24,FALSE))</f>
        <v>0</v>
      </c>
      <c r="X7" s="132">
        <f>IF(D7="",0,VLOOKUP(D7,'Tournament Details'!$C:$AA,25,FALSE))</f>
        <v>0</v>
      </c>
      <c r="Y7" s="40" t="str">
        <f>IF(D7="","",IF(COUNTIF(D:D,D7)&gt;1,"DUPLICATE PLAYER",IF(D8="","NO OPPONENT",IF(D8=U7,"REPEAT MATCHUP",IF(D8=V7,"REPEAT MATCHUP",IF(H7=H8,"SAME TEAM",""))))))</f>
        <v/>
      </c>
      <c r="Z7" s="40"/>
      <c r="AA7" t="str">
        <f>IF(Y7="NO OPPONENT","",IF(Y7&lt;&gt;"",CONCATENATE("Previous Matchup Player #: ",VLOOKUP(D7,'Tournament Details'!$C:$X,22,FALSE)," - ",VLOOKUP(D7,'Tournament Details'!$C:$Y,23,FALSE)),""))</f>
        <v/>
      </c>
    </row>
    <row r="8" spans="1:27" ht="15" customHeight="1" thickBot="1" x14ac:dyDescent="0.35">
      <c r="A8" s="224"/>
      <c r="B8" s="43">
        <f t="shared" si="0"/>
        <v>0</v>
      </c>
      <c r="C8" s="44" t="str">
        <f t="shared" si="4"/>
        <v/>
      </c>
      <c r="D8" s="74" t="str">
        <f>IF('Tournament Details'!A1&gt;=1,IF('Tournament Details'!C12&lt;=LARGE('Round 2'!$C:$C,1),VLOOKUP(SMALL('Round 2'!$C:$C,6),'Round 2'!$C:$D,2,FALSE),""),"")</f>
        <v/>
      </c>
      <c r="E8" s="44" t="str">
        <f>IF(D8="","",B8+VLOOKUP(D8,'Round 2'!$D:$E,2,FALSE))</f>
        <v/>
      </c>
      <c r="F8" s="44" t="str">
        <f>IF(D8="","",(LARGE('Tournament Details'!$C:$C,1)+1-D8)+E8)</f>
        <v/>
      </c>
      <c r="G8" s="24" t="str">
        <f>D7</f>
        <v/>
      </c>
      <c r="H8" s="26" t="str">
        <f>IF(D8="","",IF(VLOOKUP(D8,'Tournament Details'!$C:$G,5,FALSE)="",D8,VLOOKUP(D8,'Tournament Details'!$C:$G,5,FALSE)))</f>
        <v/>
      </c>
      <c r="I8" s="12" t="str">
        <f>IF(D8=0,"",IF(VLOOKUP(D8,'Tournament Details'!$C:$E,3,FALSE)&gt;0,VLOOKUP(D8,'Tournament Details'!$C:$E,3,FALSE),""))</f>
        <v/>
      </c>
      <c r="J8" s="126"/>
      <c r="K8" s="126"/>
      <c r="L8" s="23"/>
      <c r="M8" s="24"/>
      <c r="N8" s="24"/>
      <c r="O8" s="24"/>
      <c r="P8" s="189">
        <v>0</v>
      </c>
      <c r="Q8" s="183">
        <f t="shared" si="1"/>
        <v>0</v>
      </c>
      <c r="R8" s="135" t="str">
        <f t="shared" si="2"/>
        <v/>
      </c>
      <c r="S8" s="135" t="str">
        <f>IF(Q8="","",IF(Q7+Q8&lt;&gt;20,IF(Q7+Q8&lt;&gt;0,"!",""),""))</f>
        <v/>
      </c>
      <c r="T8" s="21" t="str">
        <f t="shared" si="3"/>
        <v/>
      </c>
      <c r="U8" s="132">
        <f>IF(D8="",0,VLOOKUP(D8,'Tournament Details'!$C:$X,22,FALSE))</f>
        <v>0</v>
      </c>
      <c r="V8" s="132">
        <f>IF(D8="",0,VLOOKUP(D8,'Tournament Details'!$C:$Y,23,FALSE))</f>
        <v>0</v>
      </c>
      <c r="W8" s="132">
        <f>IF(D8="",0,VLOOKUP(D8,'Tournament Details'!$C:$Z,24,FALSE))</f>
        <v>0</v>
      </c>
      <c r="X8" s="132">
        <f>IF(D8="",0,VLOOKUP(D8,'Tournament Details'!$C:$AA,25,FALSE))</f>
        <v>0</v>
      </c>
      <c r="Y8" s="40" t="str">
        <f>IF(D8="","",IF(COUNTIF(D:D,D8)&gt;1,"DUPLICATE PLAYER",IF(D7="","NO OPPONENT",IF(D7=U8,"REPEAT MATCHUP",IF(D7=V8,"REPEAT MATCHUP",IF(H8=H7,"SAME TEAM",""))))))</f>
        <v/>
      </c>
      <c r="Z8" s="40"/>
      <c r="AA8" t="str">
        <f>IF(Y8="NO OPPONENT","",IF(Y8&lt;&gt;"",CONCATENATE("Previous Matchup Player #: ",VLOOKUP(D8,'Tournament Details'!$C:$X,22,FALSE)," - ",VLOOKUP(D8,'Tournament Details'!$C:$Y,23,FALSE)),""))</f>
        <v/>
      </c>
    </row>
    <row r="9" spans="1:27" ht="15" customHeight="1" thickBot="1" x14ac:dyDescent="0.35">
      <c r="A9" s="224" t="str">
        <f>IF('Tournament Details'!A1&gt;=1,IF(LARGE('Tournament Details'!C7:C86,1)&gt;=8,4,""),"")</f>
        <v/>
      </c>
      <c r="B9" s="42">
        <f t="shared" si="0"/>
        <v>0</v>
      </c>
      <c r="C9" s="44" t="str">
        <f t="shared" si="4"/>
        <v/>
      </c>
      <c r="D9" s="66" t="str">
        <f>IF('Tournament Details'!A1&gt;=1,IF('Tournament Details'!C13&lt;=LARGE('Round 2'!$C:$C,1),VLOOKUP(SMALL('Round 2'!$C:$C,7),'Round 2'!$C:$D,2,FALSE),""),"")</f>
        <v/>
      </c>
      <c r="E9" s="44" t="str">
        <f>IF(D9="","",B9+VLOOKUP(D9,'Round 2'!$D:$E,2,FALSE))</f>
        <v/>
      </c>
      <c r="F9" s="44" t="str">
        <f>IF(D9="","",(LARGE('Tournament Details'!$C:$C,1)+1-D9)+E9)</f>
        <v/>
      </c>
      <c r="G9" s="23" t="str">
        <f>D10</f>
        <v/>
      </c>
      <c r="H9" s="25" t="str">
        <f>IF(D9="","",IF(VLOOKUP(D9,'Tournament Details'!$C:$G,5,FALSE)="",D9,VLOOKUP(D9,'Tournament Details'!$C:$G,5,FALSE)))</f>
        <v/>
      </c>
      <c r="I9" s="7" t="str">
        <f>IF(D9=0,"",IF(VLOOKUP(D9,'Tournament Details'!$C:$E,3,FALSE)&gt;0,VLOOKUP(D9,'Tournament Details'!$C:$E,3,FALSE),""))</f>
        <v/>
      </c>
      <c r="J9" s="125"/>
      <c r="K9" s="125"/>
      <c r="L9" s="23"/>
      <c r="M9" s="23"/>
      <c r="N9" s="23"/>
      <c r="O9" s="23"/>
      <c r="P9" s="188">
        <v>0</v>
      </c>
      <c r="Q9" s="183">
        <f t="shared" si="1"/>
        <v>0</v>
      </c>
      <c r="R9" s="135" t="str">
        <f t="shared" si="2"/>
        <v/>
      </c>
      <c r="S9" s="135" t="str">
        <f>IF(Q9="","",IF(Q9+Q10&lt;&gt;20,IF(Q9+Q10&lt;&gt;0,"!",""),""))</f>
        <v/>
      </c>
      <c r="T9" s="21" t="str">
        <f t="shared" si="3"/>
        <v/>
      </c>
      <c r="U9" s="132">
        <f>IF(D9="",0,VLOOKUP(D9,'Tournament Details'!$C:$X,22,FALSE))</f>
        <v>0</v>
      </c>
      <c r="V9" s="132">
        <f>IF(D9="",0,VLOOKUP(D9,'Tournament Details'!$C:$Y,23,FALSE))</f>
        <v>0</v>
      </c>
      <c r="W9" s="132">
        <f>IF(D9="",0,VLOOKUP(D9,'Tournament Details'!$C:$Z,24,FALSE))</f>
        <v>0</v>
      </c>
      <c r="X9" s="132">
        <f>IF(D9="",0,VLOOKUP(D9,'Tournament Details'!$C:$AA,25,FALSE))</f>
        <v>0</v>
      </c>
      <c r="Y9" s="40" t="str">
        <f>IF(D9="","",IF(COUNTIF(D:D,D9)&gt;1,"DUPLICATE PLAYER",IF(D10="","NO OPPONENT",IF(D10=U9,"REPEAT MATCHUP",IF(D10=V9,"REPEAT MATCHUP",IF(H9=H10,"SAME TEAM",""))))))</f>
        <v/>
      </c>
      <c r="Z9" s="40"/>
      <c r="AA9" t="str">
        <f>IF(Y9="NO OPPONENT","",IF(Y9&lt;&gt;"",CONCATENATE("Previous Matchup Player #: ",VLOOKUP(D9,'Tournament Details'!$C:$X,22,FALSE)," - ",VLOOKUP(D9,'Tournament Details'!$C:$Y,23,FALSE)),""))</f>
        <v/>
      </c>
    </row>
    <row r="10" spans="1:27" ht="15" customHeight="1" thickBot="1" x14ac:dyDescent="0.35">
      <c r="A10" s="224"/>
      <c r="B10" s="43">
        <f t="shared" si="0"/>
        <v>0</v>
      </c>
      <c r="C10" s="44" t="str">
        <f t="shared" si="4"/>
        <v/>
      </c>
      <c r="D10" s="74" t="str">
        <f>IF('Tournament Details'!A1&gt;=1,IF('Tournament Details'!C14&lt;=LARGE('Round 2'!$C:$C,1),VLOOKUP(SMALL('Round 2'!$C:$C,8),'Round 2'!$C:$D,2,FALSE),""),"")</f>
        <v/>
      </c>
      <c r="E10" s="44" t="str">
        <f>IF(D10="","",B10+VLOOKUP(D10,'Round 2'!$D:$E,2,FALSE))</f>
        <v/>
      </c>
      <c r="F10" s="44" t="str">
        <f>IF(D10="","",(LARGE('Tournament Details'!$C:$C,1)+1-D10)+E10)</f>
        <v/>
      </c>
      <c r="G10" s="24" t="str">
        <f>D9</f>
        <v/>
      </c>
      <c r="H10" s="26" t="str">
        <f>IF(D10="","",IF(VLOOKUP(D10,'Tournament Details'!$C:$G,5,FALSE)="",D10,VLOOKUP(D10,'Tournament Details'!$C:$G,5,FALSE)))</f>
        <v/>
      </c>
      <c r="I10" s="12" t="str">
        <f>IF(D10=0,"",IF(VLOOKUP(D10,'Tournament Details'!$C:$E,3,FALSE)&gt;0,VLOOKUP(D10,'Tournament Details'!$C:$E,3,FALSE),""))</f>
        <v/>
      </c>
      <c r="J10" s="126"/>
      <c r="K10" s="126"/>
      <c r="L10" s="23"/>
      <c r="M10" s="24"/>
      <c r="N10" s="24"/>
      <c r="O10" s="24"/>
      <c r="P10" s="189">
        <v>0</v>
      </c>
      <c r="Q10" s="183">
        <f t="shared" si="1"/>
        <v>0</v>
      </c>
      <c r="R10" s="135" t="str">
        <f t="shared" si="2"/>
        <v/>
      </c>
      <c r="S10" s="135" t="str">
        <f>IF(Q10="","",IF(Q9+Q10&lt;&gt;20,IF(Q9+Q10&lt;&gt;0,"!",""),""))</f>
        <v/>
      </c>
      <c r="T10" s="21" t="str">
        <f t="shared" si="3"/>
        <v/>
      </c>
      <c r="U10" s="132">
        <f>IF(D10="",0,VLOOKUP(D10,'Tournament Details'!$C:$X,22,FALSE))</f>
        <v>0</v>
      </c>
      <c r="V10" s="132">
        <f>IF(D10="",0,VLOOKUP(D10,'Tournament Details'!$C:$Y,23,FALSE))</f>
        <v>0</v>
      </c>
      <c r="W10" s="132">
        <f>IF(D10="",0,VLOOKUP(D10,'Tournament Details'!$C:$Z,24,FALSE))</f>
        <v>0</v>
      </c>
      <c r="X10" s="132">
        <f>IF(D10="",0,VLOOKUP(D10,'Tournament Details'!$C:$AA,25,FALSE))</f>
        <v>0</v>
      </c>
      <c r="Y10" s="40" t="str">
        <f>IF(D10="","",IF(COUNTIF(D:D,D10)&gt;1,"DUPLICATE PLAYER",IF(D9="","NO OPPONENT",IF(D9=U10,"REPEAT MATCHUP",IF(D9=V10,"REPEAT MATCHUP",IF(H10=H9,"SAME TEAM",""))))))</f>
        <v/>
      </c>
      <c r="Z10" s="40"/>
      <c r="AA10" t="str">
        <f>IF(Y10="NO OPPONENT","",IF(Y10&lt;&gt;"",CONCATENATE("Previous Matchup Player #: ",VLOOKUP(D10,'Tournament Details'!$C:$X,22,FALSE)," - ",VLOOKUP(D10,'Tournament Details'!$C:$Y,23,FALSE)),""))</f>
        <v/>
      </c>
    </row>
    <row r="11" spans="1:27" ht="15" customHeight="1" thickBot="1" x14ac:dyDescent="0.35">
      <c r="A11" s="224" t="str">
        <f>IF('Tournament Details'!A1&gt;=1,IF(LARGE('Tournament Details'!C7:C86,1)&gt;=10,5,""),"")</f>
        <v/>
      </c>
      <c r="B11" s="42">
        <f t="shared" si="0"/>
        <v>0</v>
      </c>
      <c r="C11" s="44" t="str">
        <f t="shared" si="4"/>
        <v/>
      </c>
      <c r="D11" s="66" t="str">
        <f>IF('Tournament Details'!A1&gt;=1,IF('Tournament Details'!C15&lt;=LARGE('Round 2'!$C:$C,1),VLOOKUP(SMALL('Round 2'!$C:$C,9),'Round 2'!$C:$D,2,FALSE),""),"")</f>
        <v/>
      </c>
      <c r="E11" s="44" t="str">
        <f>IF(D11="","",B11+VLOOKUP(D11,'Round 2'!$D:$E,2,FALSE))</f>
        <v/>
      </c>
      <c r="F11" s="44" t="str">
        <f>IF(D11="","",(LARGE('Tournament Details'!$C:$C,1)+1-D11)+E11)</f>
        <v/>
      </c>
      <c r="G11" s="23" t="str">
        <f>D12</f>
        <v/>
      </c>
      <c r="H11" s="25" t="str">
        <f>IF(D11="","",IF(VLOOKUP(D11,'Tournament Details'!$C:$G,5,FALSE)="",D11,VLOOKUP(D11,'Tournament Details'!$C:$G,5,FALSE)))</f>
        <v/>
      </c>
      <c r="I11" s="7" t="str">
        <f>IF(D11=0,"",IF(VLOOKUP(D11,'Tournament Details'!$C:$E,3,FALSE)&gt;0,VLOOKUP(D11,'Tournament Details'!$C:$E,3,FALSE),""))</f>
        <v/>
      </c>
      <c r="J11" s="125"/>
      <c r="K11" s="125"/>
      <c r="L11" s="23"/>
      <c r="M11" s="23"/>
      <c r="N11" s="23"/>
      <c r="O11" s="23"/>
      <c r="P11" s="188">
        <v>0</v>
      </c>
      <c r="Q11" s="183">
        <f t="shared" si="1"/>
        <v>0</v>
      </c>
      <c r="R11" s="135" t="str">
        <f t="shared" si="2"/>
        <v/>
      </c>
      <c r="S11" s="135" t="str">
        <f>IF(Q11="","",IF(Q11+Q12&lt;&gt;20,IF(Q11+Q12&lt;&gt;0,"!",""),""))</f>
        <v/>
      </c>
      <c r="T11" s="21" t="str">
        <f t="shared" si="3"/>
        <v/>
      </c>
      <c r="U11" s="132">
        <f>IF(D11="",0,VLOOKUP(D11,'Tournament Details'!$C:$X,22,FALSE))</f>
        <v>0</v>
      </c>
      <c r="V11" s="132">
        <f>IF(D11="",0,VLOOKUP(D11,'Tournament Details'!$C:$Y,23,FALSE))</f>
        <v>0</v>
      </c>
      <c r="W11" s="132">
        <f>IF(D11="",0,VLOOKUP(D11,'Tournament Details'!$C:$Z,24,FALSE))</f>
        <v>0</v>
      </c>
      <c r="X11" s="132">
        <f>IF(D11="",0,VLOOKUP(D11,'Tournament Details'!$C:$AA,25,FALSE))</f>
        <v>0</v>
      </c>
      <c r="Y11" s="40" t="str">
        <f>IF(D11="","",IF(COUNTIF(D:D,D11)&gt;1,"DUPLICATE PLAYER",IF(D12="","NO OPPONENT",IF(D12=U11,"REPEAT MATCHUP",IF(D12=V11,"REPEAT MATCHUP",IF(H11=H12,"SAME TEAM",""))))))</f>
        <v/>
      </c>
      <c r="Z11" s="40"/>
      <c r="AA11" t="str">
        <f>IF(Y11="NO OPPONENT","",IF(Y11&lt;&gt;"",CONCATENATE("Previous Matchup Player #: ",VLOOKUP(D11,'Tournament Details'!$C:$X,22,FALSE)," - ",VLOOKUP(D11,'Tournament Details'!$C:$Y,23,FALSE)),""))</f>
        <v/>
      </c>
    </row>
    <row r="12" spans="1:27" ht="15" customHeight="1" thickBot="1" x14ac:dyDescent="0.35">
      <c r="A12" s="224"/>
      <c r="B12" s="43">
        <f t="shared" si="0"/>
        <v>0</v>
      </c>
      <c r="C12" s="44" t="str">
        <f t="shared" si="4"/>
        <v/>
      </c>
      <c r="D12" s="74" t="str">
        <f>IF('Tournament Details'!A1&gt;=1,IF('Tournament Details'!C16&lt;=LARGE('Round 2'!$C:$C,1),VLOOKUP(SMALL('Round 2'!$C:$C,10),'Round 2'!$C:$D,2,FALSE),""),"")</f>
        <v/>
      </c>
      <c r="E12" s="44" t="str">
        <f>IF(D12="","",B12+VLOOKUP(D12,'Round 2'!$D:$E,2,FALSE))</f>
        <v/>
      </c>
      <c r="F12" s="44" t="str">
        <f>IF(D12="","",(LARGE('Tournament Details'!$C:$C,1)+1-D12)+E12)</f>
        <v/>
      </c>
      <c r="G12" s="24" t="str">
        <f>D11</f>
        <v/>
      </c>
      <c r="H12" s="26" t="str">
        <f>IF(D12="","",IF(VLOOKUP(D12,'Tournament Details'!$C:$G,5,FALSE)="",D12,VLOOKUP(D12,'Tournament Details'!$C:$G,5,FALSE)))</f>
        <v/>
      </c>
      <c r="I12" s="12" t="str">
        <f>IF(D12=0,"",IF(VLOOKUP(D12,'Tournament Details'!$C:$E,3,FALSE)&gt;0,VLOOKUP(D12,'Tournament Details'!$C:$E,3,FALSE),""))</f>
        <v/>
      </c>
      <c r="J12" s="126"/>
      <c r="K12" s="126"/>
      <c r="L12" s="23"/>
      <c r="M12" s="24"/>
      <c r="N12" s="24"/>
      <c r="O12" s="24"/>
      <c r="P12" s="189">
        <v>0</v>
      </c>
      <c r="Q12" s="183">
        <f t="shared" si="1"/>
        <v>0</v>
      </c>
      <c r="R12" s="135" t="str">
        <f t="shared" si="2"/>
        <v/>
      </c>
      <c r="S12" s="135" t="str">
        <f>IF(Q12="","",IF(Q11+Q12&lt;&gt;20,IF(Q11+Q12&lt;&gt;0,"!",""),""))</f>
        <v/>
      </c>
      <c r="T12" s="21" t="str">
        <f t="shared" si="3"/>
        <v/>
      </c>
      <c r="U12" s="132">
        <f>IF(D12="",0,VLOOKUP(D12,'Tournament Details'!$C:$X,22,FALSE))</f>
        <v>0</v>
      </c>
      <c r="V12" s="132">
        <f>IF(D12="",0,VLOOKUP(D12,'Tournament Details'!$C:$Y,23,FALSE))</f>
        <v>0</v>
      </c>
      <c r="W12" s="132">
        <f>IF(D12="",0,VLOOKUP(D12,'Tournament Details'!$C:$Z,24,FALSE))</f>
        <v>0</v>
      </c>
      <c r="X12" s="132">
        <f>IF(D12="",0,VLOOKUP(D12,'Tournament Details'!$C:$AA,25,FALSE))</f>
        <v>0</v>
      </c>
      <c r="Y12" s="40" t="str">
        <f>IF(D12="","",IF(COUNTIF(D:D,D12)&gt;1,"DUPLICATE PLAYER",IF(D11="","NO OPPONENT",IF(D11=U12,"REPEAT MATCHUP",IF(D11=V12,"REPEAT MATCHUP",IF(H12=H11,"SAME TEAM",""))))))</f>
        <v/>
      </c>
      <c r="Z12" s="40"/>
      <c r="AA12" t="str">
        <f>IF(Y12="NO OPPONENT","",IF(Y12&lt;&gt;"",CONCATENATE("Previous Matchup Player #: ",VLOOKUP(D12,'Tournament Details'!$C:$X,22,FALSE)," - ",VLOOKUP(D12,'Tournament Details'!$C:$Y,23,FALSE)),""))</f>
        <v/>
      </c>
    </row>
    <row r="13" spans="1:27" ht="15" customHeight="1" thickBot="1" x14ac:dyDescent="0.35">
      <c r="A13" s="224" t="str">
        <f>IF('Tournament Details'!A1&gt;=1,IF(LARGE('Tournament Details'!C7:C86,1)&gt;=12,6,""),"")</f>
        <v/>
      </c>
      <c r="B13" s="42">
        <f t="shared" si="0"/>
        <v>0</v>
      </c>
      <c r="C13" s="44" t="str">
        <f t="shared" si="4"/>
        <v/>
      </c>
      <c r="D13" s="66" t="str">
        <f>IF('Tournament Details'!A1&gt;=1,IF('Tournament Details'!C17&lt;=LARGE('Round 2'!$C:$C,1),VLOOKUP(SMALL('Round 2'!$C:$C,11),'Round 2'!$C:$D,2,FALSE),""),"")</f>
        <v/>
      </c>
      <c r="E13" s="44" t="str">
        <f>IF(D13="","",B13+VLOOKUP(D13,'Round 2'!$D:$E,2,FALSE))</f>
        <v/>
      </c>
      <c r="F13" s="44" t="str">
        <f>IF(D13="","",(LARGE('Tournament Details'!$C:$C,1)+1-D13)+E13)</f>
        <v/>
      </c>
      <c r="G13" s="23" t="str">
        <f>D14</f>
        <v/>
      </c>
      <c r="H13" s="25" t="str">
        <f>IF(D13="","",IF(VLOOKUP(D13,'Tournament Details'!$C:$G,5,FALSE)="",D13,VLOOKUP(D13,'Tournament Details'!$C:$G,5,FALSE)))</f>
        <v/>
      </c>
      <c r="I13" s="7" t="str">
        <f>IF(D13=0,"",IF(VLOOKUP(D13,'Tournament Details'!$C:$E,3,FALSE)&gt;0,VLOOKUP(D13,'Tournament Details'!$C:$E,3,FALSE),""))</f>
        <v/>
      </c>
      <c r="J13" s="125"/>
      <c r="K13" s="125"/>
      <c r="L13" s="23"/>
      <c r="M13" s="23"/>
      <c r="N13" s="23"/>
      <c r="O13" s="23"/>
      <c r="P13" s="188">
        <v>0</v>
      </c>
      <c r="Q13" s="183">
        <f t="shared" si="1"/>
        <v>0</v>
      </c>
      <c r="R13" s="135" t="str">
        <f t="shared" si="2"/>
        <v/>
      </c>
      <c r="S13" s="135" t="str">
        <f>IF(Q13="","",IF(Q13+Q14&lt;&gt;20,IF(Q13+Q14&lt;&gt;0,"!",""),""))</f>
        <v/>
      </c>
      <c r="T13" s="21" t="str">
        <f t="shared" si="3"/>
        <v/>
      </c>
      <c r="U13" s="132">
        <f>IF(D13="",0,VLOOKUP(D13,'Tournament Details'!$C:$X,22,FALSE))</f>
        <v>0</v>
      </c>
      <c r="V13" s="132">
        <f>IF(D13="",0,VLOOKUP(D13,'Tournament Details'!$C:$Y,23,FALSE))</f>
        <v>0</v>
      </c>
      <c r="W13" s="132">
        <f>IF(D13="",0,VLOOKUP(D13,'Tournament Details'!$C:$Z,24,FALSE))</f>
        <v>0</v>
      </c>
      <c r="X13" s="132">
        <f>IF(D13="",0,VLOOKUP(D13,'Tournament Details'!$C:$AA,25,FALSE))</f>
        <v>0</v>
      </c>
      <c r="Y13" s="40" t="str">
        <f>IF(D13="","",IF(COUNTIF(D:D,D13)&gt;1,"DUPLICATE PLAYER",IF(D14="","NO OPPONENT",IF(D14=U13,"REPEAT MATCHUP",IF(D14=V13,"REPEAT MATCHUP",IF(H13=H14,"SAME TEAM",""))))))</f>
        <v/>
      </c>
      <c r="Z13" s="40"/>
      <c r="AA13" t="str">
        <f>IF(Y13="NO OPPONENT","",IF(Y13&lt;&gt;"",CONCATENATE("Previous Matchup Player #: ",VLOOKUP(D13,'Tournament Details'!$C:$X,22,FALSE)," - ",VLOOKUP(D13,'Tournament Details'!$C:$Y,23,FALSE)),""))</f>
        <v/>
      </c>
    </row>
    <row r="14" spans="1:27" ht="15" customHeight="1" thickBot="1" x14ac:dyDescent="0.35">
      <c r="A14" s="224"/>
      <c r="B14" s="43">
        <f t="shared" si="0"/>
        <v>0</v>
      </c>
      <c r="C14" s="44" t="str">
        <f t="shared" si="4"/>
        <v/>
      </c>
      <c r="D14" s="74" t="str">
        <f>IF('Tournament Details'!A1&gt;=1,IF('Tournament Details'!C18&lt;=LARGE('Round 2'!$C:$C,1),VLOOKUP(SMALL('Round 2'!$C:$C,12),'Round 2'!$C:$D,2,FALSE),""),"")</f>
        <v/>
      </c>
      <c r="E14" s="44" t="str">
        <f>IF(D14="","",B14+VLOOKUP(D14,'Round 2'!$D:$E,2,FALSE))</f>
        <v/>
      </c>
      <c r="F14" s="44" t="str">
        <f>IF(D14="","",(LARGE('Tournament Details'!$C:$C,1)+1-D14)+E14)</f>
        <v/>
      </c>
      <c r="G14" s="24" t="str">
        <f>D13</f>
        <v/>
      </c>
      <c r="H14" s="26" t="str">
        <f>IF(D14="","",IF(VLOOKUP(D14,'Tournament Details'!$C:$G,5,FALSE)="",D14,VLOOKUP(D14,'Tournament Details'!$C:$G,5,FALSE)))</f>
        <v/>
      </c>
      <c r="I14" s="12" t="str">
        <f>IF(D14=0,"",IF(VLOOKUP(D14,'Tournament Details'!$C:$E,3,FALSE)&gt;0,VLOOKUP(D14,'Tournament Details'!$C:$E,3,FALSE),""))</f>
        <v/>
      </c>
      <c r="J14" s="126"/>
      <c r="K14" s="126"/>
      <c r="L14" s="23"/>
      <c r="M14" s="24"/>
      <c r="N14" s="24"/>
      <c r="O14" s="24"/>
      <c r="P14" s="189">
        <v>0</v>
      </c>
      <c r="Q14" s="183">
        <f t="shared" si="1"/>
        <v>0</v>
      </c>
      <c r="R14" s="135" t="str">
        <f t="shared" si="2"/>
        <v/>
      </c>
      <c r="S14" s="135" t="str">
        <f>IF(Q14="","",IF(Q13+Q14&lt;&gt;20,IF(Q13+Q14&lt;&gt;0,"!",""),""))</f>
        <v/>
      </c>
      <c r="T14" s="21" t="str">
        <f t="shared" si="3"/>
        <v/>
      </c>
      <c r="U14" s="132">
        <f>IF(D14="",0,VLOOKUP(D14,'Tournament Details'!$C:$X,22,FALSE))</f>
        <v>0</v>
      </c>
      <c r="V14" s="132">
        <f>IF(D14="",0,VLOOKUP(D14,'Tournament Details'!$C:$Y,23,FALSE))</f>
        <v>0</v>
      </c>
      <c r="W14" s="132">
        <f>IF(D14="",0,VLOOKUP(D14,'Tournament Details'!$C:$Z,24,FALSE))</f>
        <v>0</v>
      </c>
      <c r="X14" s="132">
        <f>IF(D14="",0,VLOOKUP(D14,'Tournament Details'!$C:$AA,25,FALSE))</f>
        <v>0</v>
      </c>
      <c r="Y14" s="40" t="str">
        <f>IF(D14="","",IF(COUNTIF(D:D,D14)&gt;1,"DUPLICATE PLAYER",IF(D13="","NO OPPONENT",IF(D13=U14,"REPEAT MATCHUP",IF(D13=V14,"REPEAT MATCHUP",IF(H14=H13,"SAME TEAM",""))))))</f>
        <v/>
      </c>
      <c r="Z14" s="40"/>
      <c r="AA14" t="str">
        <f>IF(Y14="NO OPPONENT","",IF(Y14&lt;&gt;"",CONCATENATE("Previous Matchup Player #: ",VLOOKUP(D14,'Tournament Details'!$C:$X,22,FALSE)," - ",VLOOKUP(D14,'Tournament Details'!$C:$Y,23,FALSE)),""))</f>
        <v/>
      </c>
    </row>
    <row r="15" spans="1:27" ht="15" customHeight="1" thickBot="1" x14ac:dyDescent="0.35">
      <c r="A15" s="224" t="str">
        <f>IF('Tournament Details'!A1&gt;=1,IF(LARGE('Tournament Details'!C7:C86,1)&gt;=14,7,""),"")</f>
        <v/>
      </c>
      <c r="B15" s="42">
        <f t="shared" si="0"/>
        <v>0</v>
      </c>
      <c r="C15" s="44" t="str">
        <f t="shared" si="4"/>
        <v/>
      </c>
      <c r="D15" s="66" t="str">
        <f>IF('Tournament Details'!A1&gt;=1,IF('Tournament Details'!C19&lt;=LARGE('Round 2'!$C:$C,1),VLOOKUP(SMALL('Round 2'!$C:$C,13),'Round 2'!$C:$D,2,FALSE),""),"")</f>
        <v/>
      </c>
      <c r="E15" s="44" t="str">
        <f>IF(D15="","",B15+VLOOKUP(D15,'Round 2'!$D:$E,2,FALSE))</f>
        <v/>
      </c>
      <c r="F15" s="44" t="str">
        <f>IF(D15="","",(LARGE('Tournament Details'!$C:$C,1)+1-D15)+E15)</f>
        <v/>
      </c>
      <c r="G15" s="23" t="str">
        <f>D16</f>
        <v/>
      </c>
      <c r="H15" s="25" t="str">
        <f>IF(D15="","",IF(VLOOKUP(D15,'Tournament Details'!$C:$G,5,FALSE)="",D15,VLOOKUP(D15,'Tournament Details'!$C:$G,5,FALSE)))</f>
        <v/>
      </c>
      <c r="I15" s="7" t="str">
        <f>IF(D15=0,"",IF(VLOOKUP(D15,'Tournament Details'!$C:$E,3,FALSE)&gt;0,VLOOKUP(D15,'Tournament Details'!$C:$E,3,FALSE),""))</f>
        <v/>
      </c>
      <c r="J15" s="125"/>
      <c r="K15" s="125"/>
      <c r="L15" s="23"/>
      <c r="M15" s="23"/>
      <c r="N15" s="23"/>
      <c r="O15" s="23"/>
      <c r="P15" s="188">
        <v>0</v>
      </c>
      <c r="Q15" s="183">
        <f t="shared" si="1"/>
        <v>0</v>
      </c>
      <c r="R15" s="135" t="str">
        <f t="shared" si="2"/>
        <v/>
      </c>
      <c r="S15" s="135" t="str">
        <f>IF(Q15="","",IF(Q15+Q16&lt;&gt;20,IF(Q15+Q16&lt;&gt;0,"!",""),""))</f>
        <v/>
      </c>
      <c r="T15" s="21" t="str">
        <f t="shared" si="3"/>
        <v/>
      </c>
      <c r="U15" s="132">
        <f>IF(D15="",0,VLOOKUP(D15,'Tournament Details'!$C:$X,22,FALSE))</f>
        <v>0</v>
      </c>
      <c r="V15" s="132">
        <f>IF(D15="",0,VLOOKUP(D15,'Tournament Details'!$C:$Y,23,FALSE))</f>
        <v>0</v>
      </c>
      <c r="W15" s="132">
        <f>IF(D15="",0,VLOOKUP(D15,'Tournament Details'!$C:$Z,24,FALSE))</f>
        <v>0</v>
      </c>
      <c r="X15" s="132">
        <f>IF(D15="",0,VLOOKUP(D15,'Tournament Details'!$C:$AA,25,FALSE))</f>
        <v>0</v>
      </c>
      <c r="Y15" s="40" t="str">
        <f>IF(D15="","",IF(COUNTIF(D:D,D15)&gt;1,"DUPLICATE PLAYER",IF(D16="","NO OPPONENT",IF(D16=U15,"REPEAT MATCHUP",IF(D16=V15,"REPEAT MATCHUP",IF(H15=H16,"SAME TEAM",""))))))</f>
        <v/>
      </c>
      <c r="Z15" s="40"/>
      <c r="AA15" t="str">
        <f>IF(Y15="NO OPPONENT","",IF(Y15&lt;&gt;"",CONCATENATE("Previous Matchup Player #: ",VLOOKUP(D15,'Tournament Details'!$C:$X,22,FALSE)," - ",VLOOKUP(D15,'Tournament Details'!$C:$Y,23,FALSE)),""))</f>
        <v/>
      </c>
    </row>
    <row r="16" spans="1:27" ht="15" customHeight="1" thickBot="1" x14ac:dyDescent="0.35">
      <c r="A16" s="224"/>
      <c r="B16" s="43">
        <f t="shared" si="0"/>
        <v>0</v>
      </c>
      <c r="C16" s="44" t="str">
        <f t="shared" si="4"/>
        <v/>
      </c>
      <c r="D16" s="74" t="str">
        <f>IF('Tournament Details'!A1&gt;=1,IF('Tournament Details'!C20&lt;=LARGE('Round 2'!$C:$C,1),VLOOKUP(SMALL('Round 2'!$C:$C,14),'Round 2'!$C:$D,2,FALSE),""),"")</f>
        <v/>
      </c>
      <c r="E16" s="44" t="str">
        <f>IF(D16="","",B16+VLOOKUP(D16,'Round 2'!$D:$E,2,FALSE))</f>
        <v/>
      </c>
      <c r="F16" s="44" t="str">
        <f>IF(D16="","",(LARGE('Tournament Details'!$C:$C,1)+1-D16)+E16)</f>
        <v/>
      </c>
      <c r="G16" s="24" t="str">
        <f>D15</f>
        <v/>
      </c>
      <c r="H16" s="26" t="str">
        <f>IF(D16="","",IF(VLOOKUP(D16,'Tournament Details'!$C:$G,5,FALSE)="",D16,VLOOKUP(D16,'Tournament Details'!$C:$G,5,FALSE)))</f>
        <v/>
      </c>
      <c r="I16" s="12" t="str">
        <f>IF(D16=0,"",IF(VLOOKUP(D16,'Tournament Details'!$C:$E,3,FALSE)&gt;0,VLOOKUP(D16,'Tournament Details'!$C:$E,3,FALSE),""))</f>
        <v/>
      </c>
      <c r="J16" s="126"/>
      <c r="K16" s="126"/>
      <c r="L16" s="23"/>
      <c r="M16" s="24"/>
      <c r="N16" s="24"/>
      <c r="O16" s="24"/>
      <c r="P16" s="189">
        <v>0</v>
      </c>
      <c r="Q16" s="183">
        <f t="shared" si="1"/>
        <v>0</v>
      </c>
      <c r="R16" s="135" t="str">
        <f t="shared" si="2"/>
        <v/>
      </c>
      <c r="S16" s="135" t="str">
        <f>IF(Q16="","",IF(Q15+Q16&lt;&gt;20,IF(Q15+Q16&lt;&gt;0,"!",""),""))</f>
        <v/>
      </c>
      <c r="T16" s="21" t="str">
        <f t="shared" si="3"/>
        <v/>
      </c>
      <c r="U16" s="132">
        <f>IF(D16="",0,VLOOKUP(D16,'Tournament Details'!$C:$X,22,FALSE))</f>
        <v>0</v>
      </c>
      <c r="V16" s="132">
        <f>IF(D16="",0,VLOOKUP(D16,'Tournament Details'!$C:$Y,23,FALSE))</f>
        <v>0</v>
      </c>
      <c r="W16" s="132">
        <f>IF(D16="",0,VLOOKUP(D16,'Tournament Details'!$C:$Z,24,FALSE))</f>
        <v>0</v>
      </c>
      <c r="X16" s="132">
        <f>IF(D16="",0,VLOOKUP(D16,'Tournament Details'!$C:$AA,25,FALSE))</f>
        <v>0</v>
      </c>
      <c r="Y16" s="40" t="str">
        <f>IF(D16="","",IF(COUNTIF(D:D,D16)&gt;1,"DUPLICATE PLAYER",IF(D15="","NO OPPONENT",IF(D15=U16,"REPEAT MATCHUP",IF(D15=V16,"REPEAT MATCHUP",IF(H16=H15,"SAME TEAM",""))))))</f>
        <v/>
      </c>
      <c r="Z16" s="40"/>
      <c r="AA16" t="str">
        <f>IF(Y16="NO OPPONENT","",IF(Y16&lt;&gt;"",CONCATENATE("Previous Matchup Player #: ",VLOOKUP(D16,'Tournament Details'!$C:$X,22,FALSE)," - ",VLOOKUP(D16,'Tournament Details'!$C:$Y,23,FALSE)),""))</f>
        <v/>
      </c>
    </row>
    <row r="17" spans="1:27" ht="15" customHeight="1" thickBot="1" x14ac:dyDescent="0.35">
      <c r="A17" s="224" t="str">
        <f>IF('Tournament Details'!A1&gt;=1,IF(LARGE('Tournament Details'!C7:C86,1)&gt;=16,8,""),"")</f>
        <v/>
      </c>
      <c r="B17" s="42">
        <f t="shared" si="0"/>
        <v>0</v>
      </c>
      <c r="C17" s="44" t="str">
        <f t="shared" si="4"/>
        <v/>
      </c>
      <c r="D17" s="66" t="str">
        <f>IF('Tournament Details'!A1&gt;=1,IF('Tournament Details'!C21&lt;=LARGE('Round 2'!$C:$C,1),VLOOKUP(SMALL('Round 2'!$C:$C,15),'Round 2'!$C:$D,2,FALSE),""),"")</f>
        <v/>
      </c>
      <c r="E17" s="44" t="str">
        <f>IF(D17="","",B17+VLOOKUP(D17,'Round 2'!$D:$E,2,FALSE))</f>
        <v/>
      </c>
      <c r="F17" s="44" t="str">
        <f>IF(D17="","",(LARGE('Tournament Details'!$C:$C,1)+1-D17)+E17)</f>
        <v/>
      </c>
      <c r="G17" s="23" t="str">
        <f>D18</f>
        <v/>
      </c>
      <c r="H17" s="25" t="str">
        <f>IF(D17="","",IF(VLOOKUP(D17,'Tournament Details'!$C:$G,5,FALSE)="",D17,VLOOKUP(D17,'Tournament Details'!$C:$G,5,FALSE)))</f>
        <v/>
      </c>
      <c r="I17" s="7" t="str">
        <f>IF(D17=0,"",IF(VLOOKUP(D17,'Tournament Details'!$C:$E,3,FALSE)&gt;0,VLOOKUP(D17,'Tournament Details'!$C:$E,3,FALSE),""))</f>
        <v/>
      </c>
      <c r="J17" s="125"/>
      <c r="K17" s="125"/>
      <c r="L17" s="23"/>
      <c r="M17" s="23"/>
      <c r="N17" s="23"/>
      <c r="O17" s="23"/>
      <c r="P17" s="188">
        <v>0</v>
      </c>
      <c r="Q17" s="183">
        <f t="shared" si="1"/>
        <v>0</v>
      </c>
      <c r="R17" s="135" t="str">
        <f t="shared" si="2"/>
        <v/>
      </c>
      <c r="S17" s="135" t="str">
        <f>IF(Q17="","",IF(Q17+Q18&lt;&gt;20,IF(Q17+Q18&lt;&gt;0,"!",""),""))</f>
        <v/>
      </c>
      <c r="T17" s="21" t="str">
        <f t="shared" si="3"/>
        <v/>
      </c>
      <c r="U17" s="132">
        <f>IF(D17="",0,VLOOKUP(D17,'Tournament Details'!$C:$X,22,FALSE))</f>
        <v>0</v>
      </c>
      <c r="V17" s="132">
        <f>IF(D17="",0,VLOOKUP(D17,'Tournament Details'!$C:$Y,23,FALSE))</f>
        <v>0</v>
      </c>
      <c r="W17" s="132">
        <f>IF(D17="",0,VLOOKUP(D17,'Tournament Details'!$C:$Z,24,FALSE))</f>
        <v>0</v>
      </c>
      <c r="X17" s="132">
        <f>IF(D17="",0,VLOOKUP(D17,'Tournament Details'!$C:$AA,25,FALSE))</f>
        <v>0</v>
      </c>
      <c r="Y17" s="40" t="str">
        <f>IF(D17="","",IF(COUNTIF(D:D,D17)&gt;1,"DUPLICATE PLAYER",IF(D18="","NO OPPONENT",IF(D18=U17,"REPEAT MATCHUP",IF(D18=V17,"REPEAT MATCHUP",IF(H17=H18,"SAME TEAM",""))))))</f>
        <v/>
      </c>
      <c r="Z17" s="40"/>
      <c r="AA17" t="str">
        <f>IF(Y17="NO OPPONENT","",IF(Y17&lt;&gt;"",CONCATENATE("Previous Matchup Player #: ",VLOOKUP(D17,'Tournament Details'!$C:$X,22,FALSE)," - ",VLOOKUP(D17,'Tournament Details'!$C:$Y,23,FALSE)),""))</f>
        <v/>
      </c>
    </row>
    <row r="18" spans="1:27" ht="15" customHeight="1" thickBot="1" x14ac:dyDescent="0.35">
      <c r="A18" s="224"/>
      <c r="B18" s="43">
        <f t="shared" si="0"/>
        <v>0</v>
      </c>
      <c r="C18" s="44" t="str">
        <f t="shared" si="4"/>
        <v/>
      </c>
      <c r="D18" s="74" t="str">
        <f>IF('Tournament Details'!A1&gt;=1,IF('Tournament Details'!C22&lt;=LARGE('Round 2'!$C:$C,1),VLOOKUP(SMALL('Round 2'!$C:$C,16),'Round 2'!$C:$D,2,FALSE),""),"")</f>
        <v/>
      </c>
      <c r="E18" s="44" t="str">
        <f>IF(D18="","",B18+VLOOKUP(D18,'Round 2'!$D:$E,2,FALSE))</f>
        <v/>
      </c>
      <c r="F18" s="44" t="str">
        <f>IF(D18="","",(LARGE('Tournament Details'!$C:$C,1)+1-D18)+E18)</f>
        <v/>
      </c>
      <c r="G18" s="24" t="str">
        <f>D17</f>
        <v/>
      </c>
      <c r="H18" s="26" t="str">
        <f>IF(D18="","",IF(VLOOKUP(D18,'Tournament Details'!$C:$G,5,FALSE)="",D18,VLOOKUP(D18,'Tournament Details'!$C:$G,5,FALSE)))</f>
        <v/>
      </c>
      <c r="I18" s="12" t="str">
        <f>IF(D18=0,"",IF(VLOOKUP(D18,'Tournament Details'!$C:$E,3,FALSE)&gt;0,VLOOKUP(D18,'Tournament Details'!$C:$E,3,FALSE),""))</f>
        <v/>
      </c>
      <c r="J18" s="126"/>
      <c r="K18" s="126"/>
      <c r="L18" s="23"/>
      <c r="M18" s="24"/>
      <c r="N18" s="24"/>
      <c r="O18" s="24"/>
      <c r="P18" s="189">
        <v>0</v>
      </c>
      <c r="Q18" s="183">
        <f t="shared" si="1"/>
        <v>0</v>
      </c>
      <c r="R18" s="135" t="str">
        <f t="shared" si="2"/>
        <v/>
      </c>
      <c r="S18" s="135" t="str">
        <f>IF(Q18="","",IF(Q17+Q18&lt;&gt;20,IF(Q17+Q18&lt;&gt;0,"!",""),""))</f>
        <v/>
      </c>
      <c r="T18" s="21" t="str">
        <f t="shared" si="3"/>
        <v/>
      </c>
      <c r="U18" s="132">
        <f>IF(D18="",0,VLOOKUP(D18,'Tournament Details'!$C:$X,22,FALSE))</f>
        <v>0</v>
      </c>
      <c r="V18" s="132">
        <f>IF(D18="",0,VLOOKUP(D18,'Tournament Details'!$C:$Y,23,FALSE))</f>
        <v>0</v>
      </c>
      <c r="W18" s="132">
        <f>IF(D18="",0,VLOOKUP(D18,'Tournament Details'!$C:$Z,24,FALSE))</f>
        <v>0</v>
      </c>
      <c r="X18" s="132">
        <f>IF(D18="",0,VLOOKUP(D18,'Tournament Details'!$C:$AA,25,FALSE))</f>
        <v>0</v>
      </c>
      <c r="Y18" s="40" t="str">
        <f>IF(D18="","",IF(COUNTIF(D:D,D18)&gt;1,"DUPLICATE PLAYER",IF(D17="","NO OPPONENT",IF(D17=U18,"REPEAT MATCHUP",IF(D17=V18,"REPEAT MATCHUP",IF(H18=H17,"SAME TEAM",""))))))</f>
        <v/>
      </c>
      <c r="Z18" s="40"/>
      <c r="AA18" t="str">
        <f>IF(Y18="NO OPPONENT","",IF(Y18&lt;&gt;"",CONCATENATE("Previous Matchup Player #: ",VLOOKUP(D18,'Tournament Details'!$C:$X,22,FALSE)," - ",VLOOKUP(D18,'Tournament Details'!$C:$Y,23,FALSE)),""))</f>
        <v/>
      </c>
    </row>
    <row r="19" spans="1:27" ht="15" customHeight="1" thickBot="1" x14ac:dyDescent="0.35">
      <c r="A19" s="224" t="str">
        <f>IF('Tournament Details'!A1&gt;=1,IF(LARGE('Tournament Details'!C7:C86,1)&gt;=18,9,""),"")</f>
        <v/>
      </c>
      <c r="B19" s="42">
        <f t="shared" si="0"/>
        <v>0</v>
      </c>
      <c r="C19" s="44" t="str">
        <f t="shared" si="4"/>
        <v/>
      </c>
      <c r="D19" s="66" t="str">
        <f>IF('Tournament Details'!A1&gt;=1,IF('Tournament Details'!C23&lt;=LARGE('Round 2'!$C:$C,1),VLOOKUP(SMALL('Round 2'!$C:$C,17),'Round 2'!$C:$D,2,FALSE),""),"")</f>
        <v/>
      </c>
      <c r="E19" s="44" t="str">
        <f>IF(D19="","",B19+VLOOKUP(D19,'Round 2'!$D:$E,2,FALSE))</f>
        <v/>
      </c>
      <c r="F19" s="44" t="str">
        <f>IF(D19="","",(LARGE('Tournament Details'!$C:$C,1)+1-D19)+E19)</f>
        <v/>
      </c>
      <c r="G19" s="23" t="str">
        <f>D20</f>
        <v/>
      </c>
      <c r="H19" s="25" t="str">
        <f>IF(D19="","",IF(VLOOKUP(D19,'Tournament Details'!$C:$G,5,FALSE)="",D19,VLOOKUP(D19,'Tournament Details'!$C:$G,5,FALSE)))</f>
        <v/>
      </c>
      <c r="I19" s="7" t="str">
        <f>IF(D19=0,"",IF(VLOOKUP(D19,'Tournament Details'!$C:$E,3,FALSE)&gt;0,VLOOKUP(D19,'Tournament Details'!$C:$E,3,FALSE),""))</f>
        <v/>
      </c>
      <c r="J19" s="125"/>
      <c r="K19" s="125"/>
      <c r="L19" s="23"/>
      <c r="M19" s="23"/>
      <c r="N19" s="23"/>
      <c r="O19" s="23"/>
      <c r="P19" s="188">
        <v>0</v>
      </c>
      <c r="Q19" s="183">
        <f t="shared" si="1"/>
        <v>0</v>
      </c>
      <c r="R19" s="135" t="str">
        <f t="shared" si="2"/>
        <v/>
      </c>
      <c r="S19" s="135" t="str">
        <f>IF(Q19="","",IF(Q19+Q20&lt;&gt;20,IF(Q19+Q20&lt;&gt;0,"!",""),""))</f>
        <v/>
      </c>
      <c r="T19" s="21" t="str">
        <f t="shared" si="3"/>
        <v/>
      </c>
      <c r="U19" s="132">
        <f>IF(D19="",0,VLOOKUP(D19,'Tournament Details'!$C:$X,22,FALSE))</f>
        <v>0</v>
      </c>
      <c r="V19" s="132">
        <f>IF(D19="",0,VLOOKUP(D19,'Tournament Details'!$C:$Y,23,FALSE))</f>
        <v>0</v>
      </c>
      <c r="W19" s="132">
        <f>IF(D19="",0,VLOOKUP(D19,'Tournament Details'!$C:$Z,24,FALSE))</f>
        <v>0</v>
      </c>
      <c r="X19" s="132">
        <f>IF(D19="",0,VLOOKUP(D19,'Tournament Details'!$C:$AA,25,FALSE))</f>
        <v>0</v>
      </c>
      <c r="Y19" s="40" t="str">
        <f>IF(D19="","",IF(COUNTIF(D:D,D19)&gt;1,"DUPLICATE PLAYER",IF(D20="","NO OPPONENT",IF(D20=U19,"REPEAT MATCHUP",IF(D20=V19,"REPEAT MATCHUP",IF(H19=H20,"SAME TEAM",""))))))</f>
        <v/>
      </c>
      <c r="Z19" s="40"/>
      <c r="AA19" t="str">
        <f>IF(Y19="NO OPPONENT","",IF(Y19&lt;&gt;"",CONCATENATE("Previous Matchup Player #: ",VLOOKUP(D19,'Tournament Details'!$C:$X,22,FALSE)," - ",VLOOKUP(D19,'Tournament Details'!$C:$Y,23,FALSE)),""))</f>
        <v/>
      </c>
    </row>
    <row r="20" spans="1:27" ht="15" customHeight="1" thickBot="1" x14ac:dyDescent="0.35">
      <c r="A20" s="224"/>
      <c r="B20" s="43">
        <f t="shared" si="0"/>
        <v>0</v>
      </c>
      <c r="C20" s="44" t="str">
        <f t="shared" si="4"/>
        <v/>
      </c>
      <c r="D20" s="74" t="str">
        <f>IF('Tournament Details'!A1&gt;=1,IF('Tournament Details'!C24&lt;=LARGE('Round 2'!$C:$C,1),VLOOKUP(SMALL('Round 2'!$C:$C,18),'Round 2'!$C:$D,2,FALSE),""),"")</f>
        <v/>
      </c>
      <c r="E20" s="44" t="str">
        <f>IF(D20="","",B20+VLOOKUP(D20,'Round 2'!$D:$E,2,FALSE))</f>
        <v/>
      </c>
      <c r="F20" s="44" t="str">
        <f>IF(D20="","",(LARGE('Tournament Details'!$C:$C,1)+1-D20)+E20)</f>
        <v/>
      </c>
      <c r="G20" s="24" t="str">
        <f>D19</f>
        <v/>
      </c>
      <c r="H20" s="26" t="str">
        <f>IF(D20="","",IF(VLOOKUP(D20,'Tournament Details'!$C:$G,5,FALSE)="",D20,VLOOKUP(D20,'Tournament Details'!$C:$G,5,FALSE)))</f>
        <v/>
      </c>
      <c r="I20" s="12" t="str">
        <f>IF(D20=0,"",IF(VLOOKUP(D20,'Tournament Details'!$C:$E,3,FALSE)&gt;0,VLOOKUP(D20,'Tournament Details'!$C:$E,3,FALSE),""))</f>
        <v/>
      </c>
      <c r="J20" s="126"/>
      <c r="K20" s="126"/>
      <c r="L20" s="23"/>
      <c r="M20" s="24"/>
      <c r="N20" s="24"/>
      <c r="O20" s="24"/>
      <c r="P20" s="189">
        <v>0</v>
      </c>
      <c r="Q20" s="183">
        <f t="shared" si="1"/>
        <v>0</v>
      </c>
      <c r="R20" s="135" t="str">
        <f t="shared" si="2"/>
        <v/>
      </c>
      <c r="S20" s="135" t="str">
        <f>IF(Q20="","",IF(Q19+Q20&lt;&gt;20,IF(Q19+Q20&lt;&gt;0,"!",""),""))</f>
        <v/>
      </c>
      <c r="T20" s="21" t="str">
        <f t="shared" si="3"/>
        <v/>
      </c>
      <c r="U20" s="132">
        <f>IF(D20="",0,VLOOKUP(D20,'Tournament Details'!$C:$X,22,FALSE))</f>
        <v>0</v>
      </c>
      <c r="V20" s="132">
        <f>IF(D20="",0,VLOOKUP(D20,'Tournament Details'!$C:$Y,23,FALSE))</f>
        <v>0</v>
      </c>
      <c r="W20" s="132">
        <f>IF(D20="",0,VLOOKUP(D20,'Tournament Details'!$C:$Z,24,FALSE))</f>
        <v>0</v>
      </c>
      <c r="X20" s="132">
        <f>IF(D20="",0,VLOOKUP(D20,'Tournament Details'!$C:$AA,25,FALSE))</f>
        <v>0</v>
      </c>
      <c r="Y20" s="40" t="str">
        <f>IF(D20="","",IF(COUNTIF(D:D,D20)&gt;1,"DUPLICATE PLAYER",IF(D19="","NO OPPONENT",IF(D19=U20,"REPEAT MATCHUP",IF(D19=V20,"REPEAT MATCHUP",IF(H20=H19,"SAME TEAM",""))))))</f>
        <v/>
      </c>
      <c r="Z20" s="40"/>
      <c r="AA20" t="str">
        <f>IF(Y20="NO OPPONENT","",IF(Y20&lt;&gt;"",CONCATENATE("Previous Matchup Player #: ",VLOOKUP(D20,'Tournament Details'!$C:$X,22,FALSE)," - ",VLOOKUP(D20,'Tournament Details'!$C:$Y,23,FALSE)),""))</f>
        <v/>
      </c>
    </row>
    <row r="21" spans="1:27" ht="15" customHeight="1" thickBot="1" x14ac:dyDescent="0.35">
      <c r="A21" s="224" t="str">
        <f>IF('Tournament Details'!A1&gt;=1,IF(LARGE('Tournament Details'!C7:C86,1)&gt;=20,10,""),"")</f>
        <v/>
      </c>
      <c r="B21" s="42">
        <f t="shared" si="0"/>
        <v>0</v>
      </c>
      <c r="C21" s="44" t="str">
        <f t="shared" si="4"/>
        <v/>
      </c>
      <c r="D21" s="66" t="str">
        <f>IF('Tournament Details'!A1&gt;=1,IF('Tournament Details'!C25&lt;=LARGE('Round 2'!$C:$C,1),VLOOKUP(SMALL('Round 2'!$C:$C,19),'Round 2'!$C:$D,2,FALSE),""),"")</f>
        <v/>
      </c>
      <c r="E21" s="44" t="str">
        <f>IF(D21="","",B21+VLOOKUP(D21,'Round 2'!$D:$E,2,FALSE))</f>
        <v/>
      </c>
      <c r="F21" s="44" t="str">
        <f>IF(D21="","",(LARGE('Tournament Details'!$C:$C,1)+1-D21)+E21)</f>
        <v/>
      </c>
      <c r="G21" s="23" t="str">
        <f>D22</f>
        <v/>
      </c>
      <c r="H21" s="25" t="str">
        <f>IF(D21="","",IF(VLOOKUP(D21,'Tournament Details'!$C:$G,5,FALSE)="",D21,VLOOKUP(D21,'Tournament Details'!$C:$G,5,FALSE)))</f>
        <v/>
      </c>
      <c r="I21" s="7" t="str">
        <f>IF(D21=0,"",IF(VLOOKUP(D21,'Tournament Details'!$C:$E,3,FALSE)&gt;0,VLOOKUP(D21,'Tournament Details'!$C:$E,3,FALSE),""))</f>
        <v/>
      </c>
      <c r="J21" s="125"/>
      <c r="K21" s="125"/>
      <c r="L21" s="23"/>
      <c r="M21" s="23"/>
      <c r="N21" s="23"/>
      <c r="O21" s="23"/>
      <c r="P21" s="188">
        <v>0</v>
      </c>
      <c r="Q21" s="183">
        <f t="shared" si="1"/>
        <v>0</v>
      </c>
      <c r="R21" s="135" t="str">
        <f t="shared" si="2"/>
        <v/>
      </c>
      <c r="S21" s="135" t="str">
        <f>IF(Q21="","",IF(Q21+Q22&lt;&gt;20,IF(Q21+Q22&lt;&gt;0,"!",""),""))</f>
        <v/>
      </c>
      <c r="T21" s="21" t="str">
        <f t="shared" si="3"/>
        <v/>
      </c>
      <c r="U21" s="132">
        <f>IF(D21="",0,VLOOKUP(D21,'Tournament Details'!$C:$X,22,FALSE))</f>
        <v>0</v>
      </c>
      <c r="V21" s="132">
        <f>IF(D21="",0,VLOOKUP(D21,'Tournament Details'!$C:$Y,23,FALSE))</f>
        <v>0</v>
      </c>
      <c r="W21" s="132">
        <f>IF(D21="",0,VLOOKUP(D21,'Tournament Details'!$C:$Z,24,FALSE))</f>
        <v>0</v>
      </c>
      <c r="X21" s="132">
        <f>IF(D21="",0,VLOOKUP(D21,'Tournament Details'!$C:$AA,25,FALSE))</f>
        <v>0</v>
      </c>
      <c r="Y21" s="40" t="str">
        <f>IF(D21="","",IF(COUNTIF(D:D,D21)&gt;1,"DUPLICATE PLAYER",IF(D22="","NO OPPONENT",IF(D22=U21,"REPEAT MATCHUP",IF(D22=V21,"REPEAT MATCHUP",IF(H21=H22,"SAME TEAM",""))))))</f>
        <v/>
      </c>
      <c r="Z21" s="40"/>
      <c r="AA21" t="str">
        <f>IF(Y21="NO OPPONENT","",IF(Y21&lt;&gt;"",CONCATENATE("Previous Matchup Player #: ",VLOOKUP(D21,'Tournament Details'!$C:$X,22,FALSE)," - ",VLOOKUP(D21,'Tournament Details'!$C:$Y,23,FALSE)),""))</f>
        <v/>
      </c>
    </row>
    <row r="22" spans="1:27" ht="15" customHeight="1" thickBot="1" x14ac:dyDescent="0.35">
      <c r="A22" s="224"/>
      <c r="B22" s="43">
        <f t="shared" si="0"/>
        <v>0</v>
      </c>
      <c r="C22" s="44" t="str">
        <f t="shared" si="4"/>
        <v/>
      </c>
      <c r="D22" s="74" t="str">
        <f>IF('Tournament Details'!A1&gt;=1,IF('Tournament Details'!C26&lt;=LARGE('Round 2'!$C:$C,1),VLOOKUP(SMALL('Round 2'!$C:$C,20),'Round 2'!$C:$D,2,FALSE),""),"")</f>
        <v/>
      </c>
      <c r="E22" s="44" t="str">
        <f>IF(D22="","",B22+VLOOKUP(D22,'Round 2'!$D:$E,2,FALSE))</f>
        <v/>
      </c>
      <c r="F22" s="44" t="str">
        <f>IF(D22="","",(LARGE('Tournament Details'!$C:$C,1)+1-D22)+E22)</f>
        <v/>
      </c>
      <c r="G22" s="24" t="str">
        <f>D21</f>
        <v/>
      </c>
      <c r="H22" s="26" t="str">
        <f>IF(D22="","",IF(VLOOKUP(D22,'Tournament Details'!$C:$G,5,FALSE)="",D22,VLOOKUP(D22,'Tournament Details'!$C:$G,5,FALSE)))</f>
        <v/>
      </c>
      <c r="I22" s="12" t="str">
        <f>IF(D22=0,"",IF(VLOOKUP(D22,'Tournament Details'!$C:$E,3,FALSE)&gt;0,VLOOKUP(D22,'Tournament Details'!$C:$E,3,FALSE),""))</f>
        <v/>
      </c>
      <c r="J22" s="126"/>
      <c r="K22" s="126"/>
      <c r="L22" s="23"/>
      <c r="M22" s="24"/>
      <c r="N22" s="24"/>
      <c r="O22" s="24"/>
      <c r="P22" s="189">
        <v>0</v>
      </c>
      <c r="Q22" s="183">
        <f t="shared" si="1"/>
        <v>0</v>
      </c>
      <c r="R22" s="135" t="str">
        <f t="shared" si="2"/>
        <v/>
      </c>
      <c r="S22" s="135" t="str">
        <f>IF(Q22="","",IF(Q21+Q22&lt;&gt;20,IF(Q21+Q22&lt;&gt;0,"!",""),""))</f>
        <v/>
      </c>
      <c r="T22" s="21" t="str">
        <f t="shared" si="3"/>
        <v/>
      </c>
      <c r="U22" s="132">
        <f>IF(D22="",0,VLOOKUP(D22,'Tournament Details'!$C:$X,22,FALSE))</f>
        <v>0</v>
      </c>
      <c r="V22" s="132">
        <f>IF(D22="",0,VLOOKUP(D22,'Tournament Details'!$C:$Y,23,FALSE))</f>
        <v>0</v>
      </c>
      <c r="W22" s="132">
        <f>IF(D22="",0,VLOOKUP(D22,'Tournament Details'!$C:$Z,24,FALSE))</f>
        <v>0</v>
      </c>
      <c r="X22" s="132">
        <f>IF(D22="",0,VLOOKUP(D22,'Tournament Details'!$C:$AA,25,FALSE))</f>
        <v>0</v>
      </c>
      <c r="Y22" s="40" t="str">
        <f>IF(D22="","",IF(COUNTIF(D:D,D22)&gt;1,"DUPLICATE PLAYER",IF(D21="","NO OPPONENT",IF(D21=U22,"REPEAT MATCHUP",IF(D21=V22,"REPEAT MATCHUP",IF(H22=H21,"SAME TEAM",""))))))</f>
        <v/>
      </c>
      <c r="Z22" s="40"/>
      <c r="AA22" t="str">
        <f>IF(Y22="NO OPPONENT","",IF(Y22&lt;&gt;"",CONCATENATE("Previous Matchup Player #: ",VLOOKUP(D22,'Tournament Details'!$C:$X,22,FALSE)," - ",VLOOKUP(D22,'Tournament Details'!$C:$Y,23,FALSE)),""))</f>
        <v/>
      </c>
    </row>
    <row r="23" spans="1:27" ht="15" customHeight="1" thickBot="1" x14ac:dyDescent="0.35">
      <c r="A23" s="224" t="str">
        <f>IF('Tournament Details'!A1&gt;=1,IF(LARGE('Tournament Details'!C7:C86,1)&gt;=22,11,""),"")</f>
        <v/>
      </c>
      <c r="B23" s="42">
        <f t="shared" si="0"/>
        <v>0</v>
      </c>
      <c r="C23" s="44" t="str">
        <f t="shared" si="4"/>
        <v/>
      </c>
      <c r="D23" s="66" t="str">
        <f>IF('Tournament Details'!A1&gt;=1,IF('Tournament Details'!C27&lt;=LARGE('Round 2'!$C:$C,1),VLOOKUP(SMALL('Round 2'!$C:$C,21),'Round 2'!$C:$D,2,FALSE),""),"")</f>
        <v/>
      </c>
      <c r="E23" s="44" t="str">
        <f>IF(D23="","",B23+VLOOKUP(D23,'Round 2'!$D:$E,2,FALSE))</f>
        <v/>
      </c>
      <c r="F23" s="44" t="str">
        <f>IF(D23="","",(LARGE('Tournament Details'!$C:$C,1)+1-D23)+E23)</f>
        <v/>
      </c>
      <c r="G23" s="23" t="str">
        <f>D24</f>
        <v/>
      </c>
      <c r="H23" s="25" t="str">
        <f>IF(D23="","",IF(VLOOKUP(D23,'Tournament Details'!$C:$G,5,FALSE)="",D23,VLOOKUP(D23,'Tournament Details'!$C:$G,5,FALSE)))</f>
        <v/>
      </c>
      <c r="I23" s="7" t="str">
        <f>IF(D23=0,"",IF(VLOOKUP(D23,'Tournament Details'!$C:$E,3,FALSE)&gt;0,VLOOKUP(D23,'Tournament Details'!$C:$E,3,FALSE),""))</f>
        <v/>
      </c>
      <c r="J23" s="125"/>
      <c r="K23" s="125"/>
      <c r="L23" s="23"/>
      <c r="M23" s="23"/>
      <c r="N23" s="23"/>
      <c r="O23" s="23"/>
      <c r="P23" s="188">
        <v>0</v>
      </c>
      <c r="Q23" s="183">
        <f t="shared" si="1"/>
        <v>0</v>
      </c>
      <c r="R23" s="135" t="str">
        <f t="shared" si="2"/>
        <v/>
      </c>
      <c r="S23" s="135" t="str">
        <f>IF(Q23="","",IF(Q23+Q24&lt;&gt;20,IF(Q23+Q24&lt;&gt;0,"!",""),""))</f>
        <v/>
      </c>
      <c r="T23" s="21" t="str">
        <f t="shared" si="3"/>
        <v/>
      </c>
      <c r="U23" s="132">
        <f>IF(D23="",0,VLOOKUP(D23,'Tournament Details'!$C:$X,22,FALSE))</f>
        <v>0</v>
      </c>
      <c r="V23" s="132">
        <f>IF(D23="",0,VLOOKUP(D23,'Tournament Details'!$C:$Y,23,FALSE))</f>
        <v>0</v>
      </c>
      <c r="W23" s="132">
        <f>IF(D23="",0,VLOOKUP(D23,'Tournament Details'!$C:$Z,24,FALSE))</f>
        <v>0</v>
      </c>
      <c r="X23" s="132">
        <f>IF(D23="",0,VLOOKUP(D23,'Tournament Details'!$C:$AA,25,FALSE))</f>
        <v>0</v>
      </c>
      <c r="Y23" s="40" t="str">
        <f>IF(D23="","",IF(COUNTIF(D:D,D23)&gt;1,"DUPLICATE PLAYER",IF(D24="","NO OPPONENT",IF(D24=U23,"REPEAT MATCHUP",IF(D24=V23,"REPEAT MATCHUP",IF(H23=H24,"SAME TEAM",""))))))</f>
        <v/>
      </c>
      <c r="Z23" s="40"/>
      <c r="AA23" t="str">
        <f>IF(Y23="NO OPPONENT","",IF(Y23&lt;&gt;"",CONCATENATE("Previous Matchup Player #: ",VLOOKUP(D23,'Tournament Details'!$C:$X,22,FALSE)," - ",VLOOKUP(D23,'Tournament Details'!$C:$Y,23,FALSE)),""))</f>
        <v/>
      </c>
    </row>
    <row r="24" spans="1:27" ht="15" customHeight="1" thickBot="1" x14ac:dyDescent="0.35">
      <c r="A24" s="224"/>
      <c r="B24" s="43">
        <f t="shared" si="0"/>
        <v>0</v>
      </c>
      <c r="C24" s="44" t="str">
        <f t="shared" si="4"/>
        <v/>
      </c>
      <c r="D24" s="74" t="str">
        <f>IF('Tournament Details'!A1&gt;=1,IF('Tournament Details'!C28&lt;=LARGE('Round 2'!$C:$C,1),VLOOKUP(SMALL('Round 2'!$C:$C,22),'Round 2'!$C:$D,2,FALSE),""),"")</f>
        <v/>
      </c>
      <c r="E24" s="44" t="str">
        <f>IF(D24="","",B24+VLOOKUP(D24,'Round 2'!$D:$E,2,FALSE))</f>
        <v/>
      </c>
      <c r="F24" s="44" t="str">
        <f>IF(D24="","",(LARGE('Tournament Details'!$C:$C,1)+1-D24)+E24)</f>
        <v/>
      </c>
      <c r="G24" s="24" t="str">
        <f>D23</f>
        <v/>
      </c>
      <c r="H24" s="26" t="str">
        <f>IF(D24="","",IF(VLOOKUP(D24,'Tournament Details'!$C:$G,5,FALSE)="",D24,VLOOKUP(D24,'Tournament Details'!$C:$G,5,FALSE)))</f>
        <v/>
      </c>
      <c r="I24" s="12" t="str">
        <f>IF(D24=0,"",IF(VLOOKUP(D24,'Tournament Details'!$C:$E,3,FALSE)&gt;0,VLOOKUP(D24,'Tournament Details'!$C:$E,3,FALSE),""))</f>
        <v/>
      </c>
      <c r="J24" s="126"/>
      <c r="K24" s="126"/>
      <c r="L24" s="23"/>
      <c r="M24" s="24"/>
      <c r="N24" s="24"/>
      <c r="O24" s="24"/>
      <c r="P24" s="189">
        <v>0</v>
      </c>
      <c r="Q24" s="183">
        <f t="shared" si="1"/>
        <v>0</v>
      </c>
      <c r="R24" s="135" t="str">
        <f t="shared" si="2"/>
        <v/>
      </c>
      <c r="S24" s="135" t="str">
        <f>IF(Q24="","",IF(Q23+Q24&lt;&gt;20,IF(Q23+Q24&lt;&gt;0,"!",""),""))</f>
        <v/>
      </c>
      <c r="T24" s="21" t="str">
        <f t="shared" si="3"/>
        <v/>
      </c>
      <c r="U24" s="132">
        <f>IF(D24="",0,VLOOKUP(D24,'Tournament Details'!$C:$X,22,FALSE))</f>
        <v>0</v>
      </c>
      <c r="V24" s="132">
        <f>IF(D24="",0,VLOOKUP(D24,'Tournament Details'!$C:$Y,23,FALSE))</f>
        <v>0</v>
      </c>
      <c r="W24" s="132">
        <f>IF(D24="",0,VLOOKUP(D24,'Tournament Details'!$C:$Z,24,FALSE))</f>
        <v>0</v>
      </c>
      <c r="X24" s="132">
        <f>IF(D24="",0,VLOOKUP(D24,'Tournament Details'!$C:$AA,25,FALSE))</f>
        <v>0</v>
      </c>
      <c r="Y24" s="40" t="str">
        <f>IF(D24="","",IF(COUNTIF(D:D,D24)&gt;1,"DUPLICATE PLAYER",IF(D23="","NO OPPONENT",IF(D23=U24,"REPEAT MATCHUP",IF(D23=V24,"REPEAT MATCHUP",IF(H24=H23,"SAME TEAM",""))))))</f>
        <v/>
      </c>
      <c r="Z24" s="40"/>
      <c r="AA24" t="str">
        <f>IF(Y24="NO OPPONENT","",IF(Y24&lt;&gt;"",CONCATENATE("Previous Matchup Player #: ",VLOOKUP(D24,'Tournament Details'!$C:$X,22,FALSE)," - ",VLOOKUP(D24,'Tournament Details'!$C:$Y,23,FALSE)),""))</f>
        <v/>
      </c>
    </row>
    <row r="25" spans="1:27" ht="15" customHeight="1" thickBot="1" x14ac:dyDescent="0.35">
      <c r="A25" s="224" t="str">
        <f>IF('Tournament Details'!A1&gt;=1,IF(LARGE('Tournament Details'!C7:C86,1)&gt;=24,12,""),"")</f>
        <v/>
      </c>
      <c r="B25" s="42">
        <f t="shared" si="0"/>
        <v>0</v>
      </c>
      <c r="C25" s="44" t="str">
        <f t="shared" si="4"/>
        <v/>
      </c>
      <c r="D25" s="66" t="str">
        <f>IF('Tournament Details'!A1&gt;=1,IF('Tournament Details'!C29&lt;=LARGE('Round 2'!$C:$C,1),VLOOKUP(SMALL('Round 2'!$C:$C,23),'Round 2'!$C:$D,2,FALSE),""),"")</f>
        <v/>
      </c>
      <c r="E25" s="44" t="str">
        <f>IF(D25="","",B25+VLOOKUP(D25,'Round 2'!$D:$E,2,FALSE))</f>
        <v/>
      </c>
      <c r="F25" s="44" t="str">
        <f>IF(D25="","",(LARGE('Tournament Details'!$C:$C,1)+1-D25)+E25)</f>
        <v/>
      </c>
      <c r="G25" s="23" t="str">
        <f>D26</f>
        <v/>
      </c>
      <c r="H25" s="25" t="str">
        <f>IF(D25="","",IF(VLOOKUP(D25,'Tournament Details'!$C:$G,5,FALSE)="",D25,VLOOKUP(D25,'Tournament Details'!$C:$G,5,FALSE)))</f>
        <v/>
      </c>
      <c r="I25" s="7" t="str">
        <f>IF(D25=0,"",IF(VLOOKUP(D25,'Tournament Details'!$C:$E,3,FALSE)&gt;0,VLOOKUP(D25,'Tournament Details'!$C:$E,3,FALSE),""))</f>
        <v/>
      </c>
      <c r="J25" s="125"/>
      <c r="K25" s="125"/>
      <c r="L25" s="23"/>
      <c r="M25" s="23"/>
      <c r="N25" s="23"/>
      <c r="O25" s="23"/>
      <c r="P25" s="188">
        <v>0</v>
      </c>
      <c r="Q25" s="183">
        <f t="shared" si="1"/>
        <v>0</v>
      </c>
      <c r="R25" s="135" t="str">
        <f t="shared" si="2"/>
        <v/>
      </c>
      <c r="S25" s="135" t="str">
        <f>IF(Q25="","",IF(Q25+Q26&lt;&gt;20,IF(Q25+Q26&lt;&gt;0,"!",""),""))</f>
        <v/>
      </c>
      <c r="T25" s="21" t="str">
        <f t="shared" si="3"/>
        <v/>
      </c>
      <c r="U25" s="132">
        <f>IF(D25="",0,VLOOKUP(D25,'Tournament Details'!$C:$X,22,FALSE))</f>
        <v>0</v>
      </c>
      <c r="V25" s="132">
        <f>IF(D25="",0,VLOOKUP(D25,'Tournament Details'!$C:$Y,23,FALSE))</f>
        <v>0</v>
      </c>
      <c r="W25" s="132">
        <f>IF(D25="",0,VLOOKUP(D25,'Tournament Details'!$C:$Z,24,FALSE))</f>
        <v>0</v>
      </c>
      <c r="X25" s="132">
        <f>IF(D25="",0,VLOOKUP(D25,'Tournament Details'!$C:$AA,25,FALSE))</f>
        <v>0</v>
      </c>
      <c r="Y25" s="40" t="str">
        <f>IF(D25="","",IF(COUNTIF(D:D,D25)&gt;1,"DUPLICATE PLAYER",IF(D26="","NO OPPONENT",IF(D26=U25,"REPEAT MATCHUP",IF(D26=V25,"REPEAT MATCHUP",IF(H25=H26,"SAME TEAM",""))))))</f>
        <v/>
      </c>
      <c r="Z25" s="40"/>
      <c r="AA25" t="str">
        <f>IF(Y25="NO OPPONENT","",IF(Y25&lt;&gt;"",CONCATENATE("Previous Matchup Player #: ",VLOOKUP(D25,'Tournament Details'!$C:$X,22,FALSE)," - ",VLOOKUP(D25,'Tournament Details'!$C:$Y,23,FALSE)),""))</f>
        <v/>
      </c>
    </row>
    <row r="26" spans="1:27" ht="15" customHeight="1" thickBot="1" x14ac:dyDescent="0.35">
      <c r="A26" s="224"/>
      <c r="B26" s="43">
        <f t="shared" si="0"/>
        <v>0</v>
      </c>
      <c r="C26" s="44" t="str">
        <f t="shared" si="4"/>
        <v/>
      </c>
      <c r="D26" s="74" t="str">
        <f>IF('Tournament Details'!A1&gt;=1,IF('Tournament Details'!C30&lt;=LARGE('Round 2'!$C:$C,1),VLOOKUP(SMALL('Round 2'!$C:$C,24),'Round 2'!$C:$D,2,FALSE),""),"")</f>
        <v/>
      </c>
      <c r="E26" s="44" t="str">
        <f>IF(D26="","",B26+VLOOKUP(D26,'Round 2'!$D:$E,2,FALSE))</f>
        <v/>
      </c>
      <c r="F26" s="44" t="str">
        <f>IF(D26="","",(LARGE('Tournament Details'!$C:$C,1)+1-D26)+E26)</f>
        <v/>
      </c>
      <c r="G26" s="24" t="str">
        <f>D25</f>
        <v/>
      </c>
      <c r="H26" s="26" t="str">
        <f>IF(D26="","",IF(VLOOKUP(D26,'Tournament Details'!$C:$G,5,FALSE)="",D26,VLOOKUP(D26,'Tournament Details'!$C:$G,5,FALSE)))</f>
        <v/>
      </c>
      <c r="I26" s="12" t="str">
        <f>IF(D26=0,"",IF(VLOOKUP(D26,'Tournament Details'!$C:$E,3,FALSE)&gt;0,VLOOKUP(D26,'Tournament Details'!$C:$E,3,FALSE),""))</f>
        <v/>
      </c>
      <c r="J26" s="126"/>
      <c r="K26" s="126"/>
      <c r="L26" s="23"/>
      <c r="M26" s="24"/>
      <c r="N26" s="24"/>
      <c r="O26" s="24"/>
      <c r="P26" s="189">
        <v>0</v>
      </c>
      <c r="Q26" s="183">
        <f t="shared" si="1"/>
        <v>0</v>
      </c>
      <c r="R26" s="135" t="str">
        <f t="shared" si="2"/>
        <v/>
      </c>
      <c r="S26" s="135" t="str">
        <f>IF(Q26="","",IF(Q25+Q26&lt;&gt;20,IF(Q25+Q26&lt;&gt;0,"!",""),""))</f>
        <v/>
      </c>
      <c r="T26" s="21" t="str">
        <f t="shared" si="3"/>
        <v/>
      </c>
      <c r="U26" s="132">
        <f>IF(D26="",0,VLOOKUP(D26,'Tournament Details'!$C:$X,22,FALSE))</f>
        <v>0</v>
      </c>
      <c r="V26" s="132">
        <f>IF(D26="",0,VLOOKUP(D26,'Tournament Details'!$C:$Y,23,FALSE))</f>
        <v>0</v>
      </c>
      <c r="W26" s="132">
        <f>IF(D26="",0,VLOOKUP(D26,'Tournament Details'!$C:$Z,24,FALSE))</f>
        <v>0</v>
      </c>
      <c r="X26" s="132">
        <f>IF(D26="",0,VLOOKUP(D26,'Tournament Details'!$C:$AA,25,FALSE))</f>
        <v>0</v>
      </c>
      <c r="Y26" s="40" t="str">
        <f>IF(D26="","",IF(COUNTIF(D:D,D26)&gt;1,"DUPLICATE PLAYER",IF(D25="","NO OPPONENT",IF(D25=U26,"REPEAT MATCHUP",IF(D25=V26,"REPEAT MATCHUP",IF(H26=H25,"SAME TEAM",""))))))</f>
        <v/>
      </c>
      <c r="Z26" s="40"/>
      <c r="AA26" t="str">
        <f>IF(Y26="NO OPPONENT","",IF(Y26&lt;&gt;"",CONCATENATE("Previous Matchup Player #: ",VLOOKUP(D26,'Tournament Details'!$C:$X,22,FALSE)," - ",VLOOKUP(D26,'Tournament Details'!$C:$Y,23,FALSE)),""))</f>
        <v/>
      </c>
    </row>
    <row r="27" spans="1:27" ht="15" customHeight="1" thickBot="1" x14ac:dyDescent="0.35">
      <c r="A27" s="224" t="str">
        <f>IF('Tournament Details'!A1&gt;=1,IF(LARGE('Tournament Details'!C7:C86,1)&gt;=26,13,""),"")</f>
        <v/>
      </c>
      <c r="B27" s="42">
        <f t="shared" si="0"/>
        <v>0</v>
      </c>
      <c r="C27" s="44" t="str">
        <f t="shared" si="4"/>
        <v/>
      </c>
      <c r="D27" s="66" t="str">
        <f>IF('Tournament Details'!A1&gt;=1,IF('Tournament Details'!C31&lt;=LARGE('Round 2'!$C:$C,1),VLOOKUP(SMALL('Round 2'!$C:$C,25),'Round 2'!$C:$D,2,FALSE),""),"")</f>
        <v/>
      </c>
      <c r="E27" s="44" t="str">
        <f>IF(D27="","",B27+VLOOKUP(D27,'Round 2'!$D:$E,2,FALSE))</f>
        <v/>
      </c>
      <c r="F27" s="44" t="str">
        <f>IF(D27="","",(LARGE('Tournament Details'!$C:$C,1)+1-D27)+E27)</f>
        <v/>
      </c>
      <c r="G27" s="23" t="str">
        <f>D28</f>
        <v/>
      </c>
      <c r="H27" s="25" t="str">
        <f>IF(D27="","",IF(VLOOKUP(D27,'Tournament Details'!$C:$G,5,FALSE)="",D27,VLOOKUP(D27,'Tournament Details'!$C:$G,5,FALSE)))</f>
        <v/>
      </c>
      <c r="I27" s="7" t="str">
        <f>IF(D27=0,"",IF(VLOOKUP(D27,'Tournament Details'!$C:$E,3,FALSE)&gt;0,VLOOKUP(D27,'Tournament Details'!$C:$E,3,FALSE),""))</f>
        <v/>
      </c>
      <c r="J27" s="125"/>
      <c r="K27" s="125"/>
      <c r="L27" s="23"/>
      <c r="M27" s="23"/>
      <c r="N27" s="23"/>
      <c r="O27" s="23"/>
      <c r="P27" s="188">
        <v>0</v>
      </c>
      <c r="Q27" s="183">
        <f t="shared" si="1"/>
        <v>0</v>
      </c>
      <c r="R27" s="135" t="str">
        <f t="shared" si="2"/>
        <v/>
      </c>
      <c r="S27" s="135" t="str">
        <f>IF(Q27="","",IF(Q27+Q28&lt;&gt;20,IF(Q27+Q28&lt;&gt;0,"!",""),""))</f>
        <v/>
      </c>
      <c r="T27" s="21" t="str">
        <f t="shared" si="3"/>
        <v/>
      </c>
      <c r="U27" s="132">
        <f>IF(D27="",0,VLOOKUP(D27,'Tournament Details'!$C:$X,22,FALSE))</f>
        <v>0</v>
      </c>
      <c r="V27" s="132">
        <f>IF(D27="",0,VLOOKUP(D27,'Tournament Details'!$C:$Y,23,FALSE))</f>
        <v>0</v>
      </c>
      <c r="W27" s="132">
        <f>IF(D27="",0,VLOOKUP(D27,'Tournament Details'!$C:$Z,24,FALSE))</f>
        <v>0</v>
      </c>
      <c r="X27" s="132">
        <f>IF(D27="",0,VLOOKUP(D27,'Tournament Details'!$C:$AA,25,FALSE))</f>
        <v>0</v>
      </c>
      <c r="Y27" s="40" t="str">
        <f>IF(D27="","",IF(COUNTIF(D:D,D27)&gt;1,"DUPLICATE PLAYER",IF(D28="","NO OPPONENT",IF(D28=U27,"REPEAT MATCHUP",IF(D28=V27,"REPEAT MATCHUP",IF(H27=H28,"SAME TEAM",""))))))</f>
        <v/>
      </c>
      <c r="Z27" s="40"/>
      <c r="AA27" t="str">
        <f>IF(Y27="NO OPPONENT","",IF(Y27&lt;&gt;"",CONCATENATE("Previous Matchup Player #: ",VLOOKUP(D27,'Tournament Details'!$C:$X,22,FALSE)," - ",VLOOKUP(D27,'Tournament Details'!$C:$Y,23,FALSE)),""))</f>
        <v/>
      </c>
    </row>
    <row r="28" spans="1:27" ht="15" customHeight="1" thickBot="1" x14ac:dyDescent="0.35">
      <c r="A28" s="224"/>
      <c r="B28" s="43">
        <f t="shared" si="0"/>
        <v>0</v>
      </c>
      <c r="C28" s="44" t="str">
        <f t="shared" si="4"/>
        <v/>
      </c>
      <c r="D28" s="74" t="str">
        <f>IF('Tournament Details'!A1&gt;=1,IF('Tournament Details'!C32&lt;=LARGE('Round 2'!$C:$C,1),VLOOKUP(SMALL('Round 2'!$C:$C,26),'Round 2'!$C:$D,2,FALSE),""),"")</f>
        <v/>
      </c>
      <c r="E28" s="44" t="str">
        <f>IF(D28="","",B28+VLOOKUP(D28,'Round 2'!$D:$E,2,FALSE))</f>
        <v/>
      </c>
      <c r="F28" s="44" t="str">
        <f>IF(D28="","",(LARGE('Tournament Details'!$C:$C,1)+1-D28)+E28)</f>
        <v/>
      </c>
      <c r="G28" s="24" t="str">
        <f>D27</f>
        <v/>
      </c>
      <c r="H28" s="26" t="str">
        <f>IF(D28="","",IF(VLOOKUP(D28,'Tournament Details'!$C:$G,5,FALSE)="",D28,VLOOKUP(D28,'Tournament Details'!$C:$G,5,FALSE)))</f>
        <v/>
      </c>
      <c r="I28" s="12" t="str">
        <f>IF(D28=0,"",IF(VLOOKUP(D28,'Tournament Details'!$C:$E,3,FALSE)&gt;0,VLOOKUP(D28,'Tournament Details'!$C:$E,3,FALSE),""))</f>
        <v/>
      </c>
      <c r="J28" s="126"/>
      <c r="K28" s="126"/>
      <c r="L28" s="23"/>
      <c r="M28" s="24"/>
      <c r="N28" s="24"/>
      <c r="O28" s="24"/>
      <c r="P28" s="189">
        <v>0</v>
      </c>
      <c r="Q28" s="183">
        <f t="shared" si="1"/>
        <v>0</v>
      </c>
      <c r="R28" s="135" t="str">
        <f t="shared" si="2"/>
        <v/>
      </c>
      <c r="S28" s="135" t="str">
        <f>IF(Q28="","",IF(Q27+Q28&lt;&gt;20,IF(Q27+Q28&lt;&gt;0,"!",""),""))</f>
        <v/>
      </c>
      <c r="T28" s="21" t="str">
        <f t="shared" si="3"/>
        <v/>
      </c>
      <c r="U28" s="132">
        <f>IF(D28="",0,VLOOKUP(D28,'Tournament Details'!$C:$X,22,FALSE))</f>
        <v>0</v>
      </c>
      <c r="V28" s="132">
        <f>IF(D28="",0,VLOOKUP(D28,'Tournament Details'!$C:$Y,23,FALSE))</f>
        <v>0</v>
      </c>
      <c r="W28" s="132">
        <f>IF(D28="",0,VLOOKUP(D28,'Tournament Details'!$C:$Z,24,FALSE))</f>
        <v>0</v>
      </c>
      <c r="X28" s="132">
        <f>IF(D28="",0,VLOOKUP(D28,'Tournament Details'!$C:$AA,25,FALSE))</f>
        <v>0</v>
      </c>
      <c r="Y28" s="40" t="str">
        <f>IF(D28="","",IF(COUNTIF(D:D,D28)&gt;1,"DUPLICATE PLAYER",IF(D27="","NO OPPONENT",IF(D27=U28,"REPEAT MATCHUP",IF(D27=V28,"REPEAT MATCHUP",IF(H28=H27,"SAME TEAM",""))))))</f>
        <v/>
      </c>
      <c r="Z28" s="40"/>
      <c r="AA28" t="str">
        <f>IF(Y28="NO OPPONENT","",IF(Y28&lt;&gt;"",CONCATENATE("Previous Matchup Player #: ",VLOOKUP(D28,'Tournament Details'!$C:$X,22,FALSE)," - ",VLOOKUP(D28,'Tournament Details'!$C:$Y,23,FALSE)),""))</f>
        <v/>
      </c>
    </row>
    <row r="29" spans="1:27" ht="15" customHeight="1" thickBot="1" x14ac:dyDescent="0.35">
      <c r="A29" s="224" t="str">
        <f>IF('Tournament Details'!A1&gt;=1,IF(LARGE('Tournament Details'!C7:C86,1)&gt;=28,14,""),"")</f>
        <v/>
      </c>
      <c r="B29" s="42">
        <f t="shared" si="0"/>
        <v>0</v>
      </c>
      <c r="C29" s="44" t="str">
        <f t="shared" si="4"/>
        <v/>
      </c>
      <c r="D29" s="66" t="str">
        <f>IF('Tournament Details'!A1&gt;=1,IF('Tournament Details'!C33&lt;=LARGE('Round 2'!$C:$C,1),VLOOKUP(SMALL('Round 2'!$C:$C,27),'Round 2'!$C:$D,2,FALSE),""),"")</f>
        <v/>
      </c>
      <c r="E29" s="44" t="str">
        <f>IF(D29="","",B29+VLOOKUP(D29,'Round 2'!$D:$E,2,FALSE))</f>
        <v/>
      </c>
      <c r="F29" s="44" t="str">
        <f>IF(D29="","",(LARGE('Tournament Details'!$C:$C,1)+1-D29)+E29)</f>
        <v/>
      </c>
      <c r="G29" s="23" t="str">
        <f>D30</f>
        <v/>
      </c>
      <c r="H29" s="25" t="str">
        <f>IF(D29="","",IF(VLOOKUP(D29,'Tournament Details'!$C:$G,5,FALSE)="",D29,VLOOKUP(D29,'Tournament Details'!$C:$G,5,FALSE)))</f>
        <v/>
      </c>
      <c r="I29" s="7" t="str">
        <f>IF(D29=0,"",IF(VLOOKUP(D29,'Tournament Details'!$C:$E,3,FALSE)&gt;0,VLOOKUP(D29,'Tournament Details'!$C:$E,3,FALSE),""))</f>
        <v/>
      </c>
      <c r="J29" s="125"/>
      <c r="K29" s="125"/>
      <c r="L29" s="23"/>
      <c r="M29" s="23"/>
      <c r="N29" s="23"/>
      <c r="O29" s="23"/>
      <c r="P29" s="188">
        <v>0</v>
      </c>
      <c r="Q29" s="183">
        <f t="shared" si="1"/>
        <v>0</v>
      </c>
      <c r="R29" s="135" t="str">
        <f t="shared" si="2"/>
        <v/>
      </c>
      <c r="S29" s="135" t="str">
        <f>IF(Q29="","",IF(Q29+Q30&lt;&gt;20,IF(Q29+Q30&lt;&gt;0,"!",""),""))</f>
        <v/>
      </c>
      <c r="T29" s="21" t="str">
        <f t="shared" si="3"/>
        <v/>
      </c>
      <c r="U29" s="132">
        <f>IF(D29="",0,VLOOKUP(D29,'Tournament Details'!$C:$X,22,FALSE))</f>
        <v>0</v>
      </c>
      <c r="V29" s="132">
        <f>IF(D29="",0,VLOOKUP(D29,'Tournament Details'!$C:$Y,23,FALSE))</f>
        <v>0</v>
      </c>
      <c r="W29" s="132">
        <f>IF(D29="",0,VLOOKUP(D29,'Tournament Details'!$C:$Z,24,FALSE))</f>
        <v>0</v>
      </c>
      <c r="X29" s="132">
        <f>IF(D29="",0,VLOOKUP(D29,'Tournament Details'!$C:$AA,25,FALSE))</f>
        <v>0</v>
      </c>
      <c r="Y29" s="40" t="str">
        <f>IF(D29="","",IF(COUNTIF(D:D,D29)&gt;1,"DUPLICATE PLAYER",IF(D30="","NO OPPONENT",IF(D30=U29,"REPEAT MATCHUP",IF(D30=V29,"REPEAT MATCHUP",IF(H29=H30,"SAME TEAM",""))))))</f>
        <v/>
      </c>
      <c r="Z29" s="40"/>
      <c r="AA29" t="str">
        <f>IF(Y29="NO OPPONENT","",IF(Y29&lt;&gt;"",CONCATENATE("Previous Matchup Player #: ",VLOOKUP(D29,'Tournament Details'!$C:$X,22,FALSE)," - ",VLOOKUP(D29,'Tournament Details'!$C:$Y,23,FALSE)),""))</f>
        <v/>
      </c>
    </row>
    <row r="30" spans="1:27" ht="15" customHeight="1" thickBot="1" x14ac:dyDescent="0.35">
      <c r="A30" s="224"/>
      <c r="B30" s="43">
        <f t="shared" si="0"/>
        <v>0</v>
      </c>
      <c r="C30" s="44" t="str">
        <f t="shared" si="4"/>
        <v/>
      </c>
      <c r="D30" s="74" t="str">
        <f>IF('Tournament Details'!A1&gt;=1,IF('Tournament Details'!C34&lt;=LARGE('Round 2'!$C:$C,1),VLOOKUP(SMALL('Round 2'!$C:$C,28),'Round 2'!$C:$D,2,FALSE),""),"")</f>
        <v/>
      </c>
      <c r="E30" s="44" t="str">
        <f>IF(D30="","",B30+VLOOKUP(D30,'Round 2'!$D:$E,2,FALSE))</f>
        <v/>
      </c>
      <c r="F30" s="44" t="str">
        <f>IF(D30="","",(LARGE('Tournament Details'!$C:$C,1)+1-D30)+E30)</f>
        <v/>
      </c>
      <c r="G30" s="24" t="str">
        <f>D29</f>
        <v/>
      </c>
      <c r="H30" s="26" t="str">
        <f>IF(D30="","",IF(VLOOKUP(D30,'Tournament Details'!$C:$G,5,FALSE)="",D30,VLOOKUP(D30,'Tournament Details'!$C:$G,5,FALSE)))</f>
        <v/>
      </c>
      <c r="I30" s="12" t="str">
        <f>IF(D30=0,"",IF(VLOOKUP(D30,'Tournament Details'!$C:$E,3,FALSE)&gt;0,VLOOKUP(D30,'Tournament Details'!$C:$E,3,FALSE),""))</f>
        <v/>
      </c>
      <c r="J30" s="126"/>
      <c r="K30" s="126"/>
      <c r="L30" s="23"/>
      <c r="M30" s="24"/>
      <c r="N30" s="24"/>
      <c r="O30" s="24"/>
      <c r="P30" s="189">
        <v>0</v>
      </c>
      <c r="Q30" s="183">
        <f t="shared" si="1"/>
        <v>0</v>
      </c>
      <c r="R30" s="135" t="str">
        <f t="shared" si="2"/>
        <v/>
      </c>
      <c r="S30" s="135" t="str">
        <f>IF(Q30="","",IF(Q29+Q30&lt;&gt;20,IF(Q29+Q30&lt;&gt;0,"!",""),""))</f>
        <v/>
      </c>
      <c r="T30" s="21" t="str">
        <f t="shared" si="3"/>
        <v/>
      </c>
      <c r="U30" s="132">
        <f>IF(D30="",0,VLOOKUP(D30,'Tournament Details'!$C:$X,22,FALSE))</f>
        <v>0</v>
      </c>
      <c r="V30" s="132">
        <f>IF(D30="",0,VLOOKUP(D30,'Tournament Details'!$C:$Y,23,FALSE))</f>
        <v>0</v>
      </c>
      <c r="W30" s="132">
        <f>IF(D30="",0,VLOOKUP(D30,'Tournament Details'!$C:$Z,24,FALSE))</f>
        <v>0</v>
      </c>
      <c r="X30" s="132">
        <f>IF(D30="",0,VLOOKUP(D30,'Tournament Details'!$C:$AA,25,FALSE))</f>
        <v>0</v>
      </c>
      <c r="Y30" s="40" t="str">
        <f>IF(D30="","",IF(COUNTIF(D:D,D30)&gt;1,"DUPLICATE PLAYER",IF(D29="","NO OPPONENT",IF(D29=U30,"REPEAT MATCHUP",IF(D29=V30,"REPEAT MATCHUP",IF(H30=H29,"SAME TEAM",""))))))</f>
        <v/>
      </c>
      <c r="Z30" s="40"/>
      <c r="AA30" t="str">
        <f>IF(Y30="NO OPPONENT","",IF(Y30&lt;&gt;"",CONCATENATE("Previous Matchup Player #: ",VLOOKUP(D30,'Tournament Details'!$C:$X,22,FALSE)," - ",VLOOKUP(D30,'Tournament Details'!$C:$Y,23,FALSE)),""))</f>
        <v/>
      </c>
    </row>
    <row r="31" spans="1:27" ht="15" customHeight="1" thickBot="1" x14ac:dyDescent="0.35">
      <c r="A31" s="224" t="str">
        <f>IF('Tournament Details'!A1&gt;=1,IF(LARGE('Tournament Details'!C7:C86,1)&gt;=30,15,""),"")</f>
        <v/>
      </c>
      <c r="B31" s="42">
        <f t="shared" si="0"/>
        <v>0</v>
      </c>
      <c r="C31" s="44" t="str">
        <f t="shared" si="4"/>
        <v/>
      </c>
      <c r="D31" s="66" t="str">
        <f>IF('Tournament Details'!A1&gt;=1,IF('Tournament Details'!C35&lt;=LARGE('Round 2'!$C:$C,1),VLOOKUP(SMALL('Round 2'!$C:$C,29),'Round 2'!$C:$D,2,FALSE),""),"")</f>
        <v/>
      </c>
      <c r="E31" s="44" t="str">
        <f>IF(D31="","",B31+VLOOKUP(D31,'Round 2'!$D:$E,2,FALSE))</f>
        <v/>
      </c>
      <c r="F31" s="44" t="str">
        <f>IF(D31="","",(LARGE('Tournament Details'!$C:$C,1)+1-D31)+E31)</f>
        <v/>
      </c>
      <c r="G31" s="23" t="str">
        <f>D32</f>
        <v/>
      </c>
      <c r="H31" s="25" t="str">
        <f>IF(D31="","",IF(VLOOKUP(D31,'Tournament Details'!$C:$G,5,FALSE)="",D31,VLOOKUP(D31,'Tournament Details'!$C:$G,5,FALSE)))</f>
        <v/>
      </c>
      <c r="I31" s="7" t="str">
        <f>IF(D31=0,"",IF(VLOOKUP(D31,'Tournament Details'!$C:$E,3,FALSE)&gt;0,VLOOKUP(D31,'Tournament Details'!$C:$E,3,FALSE),""))</f>
        <v/>
      </c>
      <c r="J31" s="125"/>
      <c r="K31" s="125"/>
      <c r="L31" s="23"/>
      <c r="M31" s="23"/>
      <c r="N31" s="23"/>
      <c r="O31" s="23"/>
      <c r="P31" s="188">
        <v>0</v>
      </c>
      <c r="Q31" s="183">
        <f t="shared" si="1"/>
        <v>0</v>
      </c>
      <c r="R31" s="135" t="str">
        <f t="shared" si="2"/>
        <v/>
      </c>
      <c r="S31" s="135" t="str">
        <f>IF(Q31="","",IF(Q31+Q32&lt;&gt;20,IF(Q31+Q32&lt;&gt;0,"!",""),""))</f>
        <v/>
      </c>
      <c r="T31" s="21" t="str">
        <f t="shared" si="3"/>
        <v/>
      </c>
      <c r="U31" s="132">
        <f>IF(D31="",0,VLOOKUP(D31,'Tournament Details'!$C:$X,22,FALSE))</f>
        <v>0</v>
      </c>
      <c r="V31" s="132">
        <f>IF(D31="",0,VLOOKUP(D31,'Tournament Details'!$C:$Y,23,FALSE))</f>
        <v>0</v>
      </c>
      <c r="W31" s="132">
        <f>IF(D31="",0,VLOOKUP(D31,'Tournament Details'!$C:$Z,24,FALSE))</f>
        <v>0</v>
      </c>
      <c r="X31" s="132">
        <f>IF(D31="",0,VLOOKUP(D31,'Tournament Details'!$C:$AA,25,FALSE))</f>
        <v>0</v>
      </c>
      <c r="Y31" s="40" t="str">
        <f>IF(D31="","",IF(COUNTIF(D:D,D31)&gt;1,"DUPLICATE PLAYER",IF(D32="","NO OPPONENT",IF(D32=U31,"REPEAT MATCHUP",IF(D32=V31,"REPEAT MATCHUP",IF(H31=H32,"SAME TEAM",""))))))</f>
        <v/>
      </c>
      <c r="Z31" s="40"/>
      <c r="AA31" t="str">
        <f>IF(Y31="NO OPPONENT","",IF(Y31&lt;&gt;"",CONCATENATE("Previous Matchup Player #: ",VLOOKUP(D31,'Tournament Details'!$C:$X,22,FALSE)," - ",VLOOKUP(D31,'Tournament Details'!$C:$Y,23,FALSE)),""))</f>
        <v/>
      </c>
    </row>
    <row r="32" spans="1:27" ht="15" customHeight="1" thickBot="1" x14ac:dyDescent="0.35">
      <c r="A32" s="224"/>
      <c r="B32" s="43">
        <f t="shared" si="0"/>
        <v>0</v>
      </c>
      <c r="C32" s="44" t="str">
        <f t="shared" si="4"/>
        <v/>
      </c>
      <c r="D32" s="74" t="str">
        <f>IF('Tournament Details'!A1&gt;=1,IF('Tournament Details'!C36&lt;=LARGE('Round 2'!$C:$C,1),VLOOKUP(SMALL('Round 2'!$C:$C,30),'Round 2'!$C:$D,2,FALSE),""),"")</f>
        <v/>
      </c>
      <c r="E32" s="44" t="str">
        <f>IF(D32="","",B32+VLOOKUP(D32,'Round 2'!$D:$E,2,FALSE))</f>
        <v/>
      </c>
      <c r="F32" s="44" t="str">
        <f>IF(D32="","",(LARGE('Tournament Details'!$C:$C,1)+1-D32)+E32)</f>
        <v/>
      </c>
      <c r="G32" s="24" t="str">
        <f>D31</f>
        <v/>
      </c>
      <c r="H32" s="26" t="str">
        <f>IF(D32="","",IF(VLOOKUP(D32,'Tournament Details'!$C:$G,5,FALSE)="",D32,VLOOKUP(D32,'Tournament Details'!$C:$G,5,FALSE)))</f>
        <v/>
      </c>
      <c r="I32" s="12" t="str">
        <f>IF(D32=0,"",IF(VLOOKUP(D32,'Tournament Details'!$C:$E,3,FALSE)&gt;0,VLOOKUP(D32,'Tournament Details'!$C:$E,3,FALSE),""))</f>
        <v/>
      </c>
      <c r="J32" s="126"/>
      <c r="K32" s="126"/>
      <c r="L32" s="23"/>
      <c r="M32" s="24"/>
      <c r="N32" s="24"/>
      <c r="O32" s="24"/>
      <c r="P32" s="189">
        <v>0</v>
      </c>
      <c r="Q32" s="183">
        <f t="shared" si="1"/>
        <v>0</v>
      </c>
      <c r="R32" s="135" t="str">
        <f t="shared" si="2"/>
        <v/>
      </c>
      <c r="S32" s="135" t="str">
        <f>IF(Q32="","",IF(Q31+Q32&lt;&gt;20,IF(Q31+Q32&lt;&gt;0,"!",""),""))</f>
        <v/>
      </c>
      <c r="T32" s="21" t="str">
        <f t="shared" si="3"/>
        <v/>
      </c>
      <c r="U32" s="132">
        <f>IF(D32="",0,VLOOKUP(D32,'Tournament Details'!$C:$X,22,FALSE))</f>
        <v>0</v>
      </c>
      <c r="V32" s="132">
        <f>IF(D32="",0,VLOOKUP(D32,'Tournament Details'!$C:$Y,23,FALSE))</f>
        <v>0</v>
      </c>
      <c r="W32" s="132">
        <f>IF(D32="",0,VLOOKUP(D32,'Tournament Details'!$C:$Z,24,FALSE))</f>
        <v>0</v>
      </c>
      <c r="X32" s="132">
        <f>IF(D32="",0,VLOOKUP(D32,'Tournament Details'!$C:$AA,25,FALSE))</f>
        <v>0</v>
      </c>
      <c r="Y32" s="40" t="str">
        <f>IF(D32="","",IF(COUNTIF(D:D,D32)&gt;1,"DUPLICATE PLAYER",IF(D31="","NO OPPONENT",IF(D31=U32,"REPEAT MATCHUP",IF(D31=V32,"REPEAT MATCHUP",IF(H32=H31,"SAME TEAM",""))))))</f>
        <v/>
      </c>
      <c r="Z32" s="40"/>
      <c r="AA32" t="str">
        <f>IF(Y32="NO OPPONENT","",IF(Y32&lt;&gt;"",CONCATENATE("Previous Matchup Player #: ",VLOOKUP(D32,'Tournament Details'!$C:$X,22,FALSE)," - ",VLOOKUP(D32,'Tournament Details'!$C:$Y,23,FALSE)),""))</f>
        <v/>
      </c>
    </row>
    <row r="33" spans="1:27" ht="15" customHeight="1" thickBot="1" x14ac:dyDescent="0.35">
      <c r="A33" s="224" t="str">
        <f>IF('Tournament Details'!A1&gt;=1,IF(LARGE('Tournament Details'!C7:C86,1)&gt;=32,16,""),"")</f>
        <v/>
      </c>
      <c r="B33" s="42">
        <f t="shared" si="0"/>
        <v>0</v>
      </c>
      <c r="C33" s="44" t="str">
        <f t="shared" si="4"/>
        <v/>
      </c>
      <c r="D33" s="66" t="str">
        <f>IF('Tournament Details'!A1&gt;=1,IF('Tournament Details'!C37&lt;=LARGE('Round 2'!$C:$C,1),VLOOKUP(SMALL('Round 2'!$C:$C,31),'Round 2'!$C:$D,2,FALSE),""),"")</f>
        <v/>
      </c>
      <c r="E33" s="44" t="str">
        <f>IF(D33="","",B33+VLOOKUP(D33,'Round 2'!$D:$E,2,FALSE))</f>
        <v/>
      </c>
      <c r="F33" s="44" t="str">
        <f>IF(D33="","",(LARGE('Tournament Details'!$C:$C,1)+1-D33)+E33)</f>
        <v/>
      </c>
      <c r="G33" s="23" t="str">
        <f>D34</f>
        <v/>
      </c>
      <c r="H33" s="25" t="str">
        <f>IF(D33="","",IF(VLOOKUP(D33,'Tournament Details'!$C:$G,5,FALSE)="",D33,VLOOKUP(D33,'Tournament Details'!$C:$G,5,FALSE)))</f>
        <v/>
      </c>
      <c r="I33" s="7" t="str">
        <f>IF(D33=0,"",IF(VLOOKUP(D33,'Tournament Details'!$C:$E,3,FALSE)&gt;0,VLOOKUP(D33,'Tournament Details'!$C:$E,3,FALSE),""))</f>
        <v/>
      </c>
      <c r="J33" s="125"/>
      <c r="K33" s="125"/>
      <c r="L33" s="23"/>
      <c r="M33" s="23"/>
      <c r="N33" s="23"/>
      <c r="O33" s="23"/>
      <c r="P33" s="188">
        <v>0</v>
      </c>
      <c r="Q33" s="183">
        <f t="shared" si="1"/>
        <v>0</v>
      </c>
      <c r="R33" s="135" t="str">
        <f t="shared" si="2"/>
        <v/>
      </c>
      <c r="S33" s="135" t="str">
        <f>IF(Q33="","",IF(Q33+Q34&lt;&gt;20,IF(Q33+Q34&lt;&gt;0,"!",""),""))</f>
        <v/>
      </c>
      <c r="T33" s="21" t="str">
        <f t="shared" si="3"/>
        <v/>
      </c>
      <c r="U33" s="132">
        <f>IF(D33="",0,VLOOKUP(D33,'Tournament Details'!$C:$X,22,FALSE))</f>
        <v>0</v>
      </c>
      <c r="V33" s="132">
        <f>IF(D33="",0,VLOOKUP(D33,'Tournament Details'!$C:$Y,23,FALSE))</f>
        <v>0</v>
      </c>
      <c r="W33" s="132">
        <f>IF(D33="",0,VLOOKUP(D33,'Tournament Details'!$C:$Z,24,FALSE))</f>
        <v>0</v>
      </c>
      <c r="X33" s="132">
        <f>IF(D33="",0,VLOOKUP(D33,'Tournament Details'!$C:$AA,25,FALSE))</f>
        <v>0</v>
      </c>
      <c r="Y33" s="40" t="str">
        <f>IF(D33="","",IF(COUNTIF(D:D,D33)&gt;1,"DUPLICATE PLAYER",IF(D34="","NO OPPONENT",IF(D34=U33,"REPEAT MATCHUP",IF(D34=V33,"REPEAT MATCHUP",IF(H33=H34,"SAME TEAM",""))))))</f>
        <v/>
      </c>
      <c r="Z33" s="40"/>
      <c r="AA33" t="str">
        <f>IF(Y33="NO OPPONENT","",IF(Y33&lt;&gt;"",CONCATENATE("Previous Matchup Player #: ",VLOOKUP(D33,'Tournament Details'!$C:$X,22,FALSE)," - ",VLOOKUP(D33,'Tournament Details'!$C:$Y,23,FALSE)),""))</f>
        <v/>
      </c>
    </row>
    <row r="34" spans="1:27" ht="15" customHeight="1" thickBot="1" x14ac:dyDescent="0.35">
      <c r="A34" s="224"/>
      <c r="B34" s="43">
        <f t="shared" si="0"/>
        <v>0</v>
      </c>
      <c r="C34" s="44" t="str">
        <f t="shared" si="4"/>
        <v/>
      </c>
      <c r="D34" s="74" t="str">
        <f>IF('Tournament Details'!A1&gt;=1,IF('Tournament Details'!C38&lt;=LARGE('Round 2'!$C:$C,1),VLOOKUP(SMALL('Round 2'!$C:$C,32),'Round 2'!$C:$D,2,FALSE),""),"")</f>
        <v/>
      </c>
      <c r="E34" s="44" t="str">
        <f>IF(D34="","",B34+VLOOKUP(D34,'Round 2'!$D:$E,2,FALSE))</f>
        <v/>
      </c>
      <c r="F34" s="44" t="str">
        <f>IF(D34="","",(LARGE('Tournament Details'!$C:$C,1)+1-D34)+E34)</f>
        <v/>
      </c>
      <c r="G34" s="24" t="str">
        <f>D33</f>
        <v/>
      </c>
      <c r="H34" s="26" t="str">
        <f>IF(D34="","",IF(VLOOKUP(D34,'Tournament Details'!$C:$G,5,FALSE)="",D34,VLOOKUP(D34,'Tournament Details'!$C:$G,5,FALSE)))</f>
        <v/>
      </c>
      <c r="I34" s="12" t="str">
        <f>IF(D34=0,"",IF(VLOOKUP(D34,'Tournament Details'!$C:$E,3,FALSE)&gt;0,VLOOKUP(D34,'Tournament Details'!$C:$E,3,FALSE),""))</f>
        <v/>
      </c>
      <c r="J34" s="126"/>
      <c r="K34" s="126"/>
      <c r="L34" s="23"/>
      <c r="M34" s="24"/>
      <c r="N34" s="24"/>
      <c r="O34" s="24"/>
      <c r="P34" s="189">
        <v>0</v>
      </c>
      <c r="Q34" s="183">
        <f t="shared" si="1"/>
        <v>0</v>
      </c>
      <c r="R34" s="135" t="str">
        <f t="shared" si="2"/>
        <v/>
      </c>
      <c r="S34" s="135" t="str">
        <f>IF(Q34="","",IF(Q33+Q34&lt;&gt;20,IF(Q33+Q34&lt;&gt;0,"!",""),""))</f>
        <v/>
      </c>
      <c r="T34" s="21" t="str">
        <f t="shared" si="3"/>
        <v/>
      </c>
      <c r="U34" s="132">
        <f>IF(D34="",0,VLOOKUP(D34,'Tournament Details'!$C:$X,22,FALSE))</f>
        <v>0</v>
      </c>
      <c r="V34" s="132">
        <f>IF(D34="",0,VLOOKUP(D34,'Tournament Details'!$C:$Y,23,FALSE))</f>
        <v>0</v>
      </c>
      <c r="W34" s="132">
        <f>IF(D34="",0,VLOOKUP(D34,'Tournament Details'!$C:$Z,24,FALSE))</f>
        <v>0</v>
      </c>
      <c r="X34" s="132">
        <f>IF(D34="",0,VLOOKUP(D34,'Tournament Details'!$C:$AA,25,FALSE))</f>
        <v>0</v>
      </c>
      <c r="Y34" s="40" t="str">
        <f>IF(D34="","",IF(COUNTIF(D:D,D34)&gt;1,"DUPLICATE PLAYER",IF(D33="","NO OPPONENT",IF(D33=U34,"REPEAT MATCHUP",IF(D33=V34,"REPEAT MATCHUP",IF(H34=H33,"SAME TEAM",""))))))</f>
        <v/>
      </c>
      <c r="Z34" s="40"/>
      <c r="AA34" t="str">
        <f>IF(Y34="NO OPPONENT","",IF(Y34&lt;&gt;"",CONCATENATE("Previous Matchup Player #: ",VLOOKUP(D34,'Tournament Details'!$C:$X,22,FALSE)," - ",VLOOKUP(D34,'Tournament Details'!$C:$Y,23,FALSE)),""))</f>
        <v/>
      </c>
    </row>
    <row r="35" spans="1:27" ht="15" customHeight="1" thickBot="1" x14ac:dyDescent="0.35">
      <c r="A35" s="224" t="str">
        <f>IF('Tournament Details'!A1&gt;=1,IF(LARGE('Tournament Details'!C7:C86,1)&gt;=34,17,""),"")</f>
        <v/>
      </c>
      <c r="B35" s="42">
        <f t="shared" ref="B35:B66" si="5">IF(Q35="","",(Q35*10000)+K35)</f>
        <v>0</v>
      </c>
      <c r="C35" s="44" t="str">
        <f t="shared" si="4"/>
        <v/>
      </c>
      <c r="D35" s="66" t="str">
        <f>IF('Tournament Details'!A1&gt;=1,IF('Tournament Details'!C39&lt;=LARGE('Round 2'!$C:$C,1),VLOOKUP(SMALL('Round 2'!$C:$C,33),'Round 2'!$C:$D,2,FALSE),""),"")</f>
        <v/>
      </c>
      <c r="E35" s="44" t="str">
        <f>IF(D35="","",B35+VLOOKUP(D35,'Round 2'!$D:$E,2,FALSE))</f>
        <v/>
      </c>
      <c r="F35" s="44" t="str">
        <f>IF(D35="","",(LARGE('Tournament Details'!$C:$C,1)+1-D35)+E35)</f>
        <v/>
      </c>
      <c r="G35" s="23" t="str">
        <f>D36</f>
        <v/>
      </c>
      <c r="H35" s="25" t="str">
        <f>IF(D35="","",IF(VLOOKUP(D35,'Tournament Details'!$C:$G,5,FALSE)="",D35,VLOOKUP(D35,'Tournament Details'!$C:$G,5,FALSE)))</f>
        <v/>
      </c>
      <c r="I35" s="7" t="str">
        <f>IF(D35=0,"",IF(VLOOKUP(D35,'Tournament Details'!$C:$E,3,FALSE)&gt;0,VLOOKUP(D35,'Tournament Details'!$C:$E,3,FALSE),""))</f>
        <v/>
      </c>
      <c r="J35" s="125"/>
      <c r="K35" s="125"/>
      <c r="L35" s="23"/>
      <c r="M35" s="23"/>
      <c r="N35" s="23"/>
      <c r="O35" s="23"/>
      <c r="P35" s="188">
        <v>0</v>
      </c>
      <c r="Q35" s="183">
        <f t="shared" ref="Q35:Q66" si="6">IF(P35="",0,P35)</f>
        <v>0</v>
      </c>
      <c r="R35" s="135" t="str">
        <f t="shared" ref="R35:R66" si="7">IF(J35="","",IF(J35&gt;16,"!",IF(J35&lt;4,"!","")))</f>
        <v/>
      </c>
      <c r="S35" s="135" t="str">
        <f>IF(Q35="","",IF(Q35+Q36&lt;&gt;20,IF(Q35+Q36&lt;&gt;0,"!",""),""))</f>
        <v/>
      </c>
      <c r="T35" s="21" t="str">
        <f t="shared" ref="T35:T66" si="8">IF(R35="!","!",IF(S35="!","!",""))</f>
        <v/>
      </c>
      <c r="U35" s="132">
        <f>IF(D35="",0,VLOOKUP(D35,'Tournament Details'!$C:$X,22,FALSE))</f>
        <v>0</v>
      </c>
      <c r="V35" s="132">
        <f>IF(D35="",0,VLOOKUP(D35,'Tournament Details'!$C:$Y,23,FALSE))</f>
        <v>0</v>
      </c>
      <c r="W35" s="132">
        <f>IF(D35="",0,VLOOKUP(D35,'Tournament Details'!$C:$Z,24,FALSE))</f>
        <v>0</v>
      </c>
      <c r="X35" s="132">
        <f>IF(D35="",0,VLOOKUP(D35,'Tournament Details'!$C:$AA,25,FALSE))</f>
        <v>0</v>
      </c>
      <c r="Y35" s="40" t="str">
        <f>IF(D35="","",IF(COUNTIF(D:D,D35)&gt;1,"DUPLICATE PLAYER",IF(D36="","NO OPPONENT",IF(D36=U35,"REPEAT MATCHUP",IF(D36=V35,"REPEAT MATCHUP",IF(H35=H36,"SAME TEAM",""))))))</f>
        <v/>
      </c>
      <c r="Z35" s="40"/>
      <c r="AA35" t="str">
        <f>IF(Y35="NO OPPONENT","",IF(Y35&lt;&gt;"",CONCATENATE("Previous Matchup Player #: ",VLOOKUP(D35,'Tournament Details'!$C:$X,22,FALSE)," - ",VLOOKUP(D35,'Tournament Details'!$C:$Y,23,FALSE)),""))</f>
        <v/>
      </c>
    </row>
    <row r="36" spans="1:27" ht="15" customHeight="1" thickBot="1" x14ac:dyDescent="0.35">
      <c r="A36" s="224"/>
      <c r="B36" s="43">
        <f t="shared" si="5"/>
        <v>0</v>
      </c>
      <c r="C36" s="44" t="str">
        <f t="shared" si="4"/>
        <v/>
      </c>
      <c r="D36" s="74" t="str">
        <f>IF('Tournament Details'!A1&gt;=1,IF('Tournament Details'!C40&lt;=LARGE('Round 2'!$C:$C,1),VLOOKUP(SMALL('Round 2'!$C:$C,34),'Round 2'!$C:$D,2,FALSE),""),"")</f>
        <v/>
      </c>
      <c r="E36" s="44" t="str">
        <f>IF(D36="","",B36+VLOOKUP(D36,'Round 2'!$D:$E,2,FALSE))</f>
        <v/>
      </c>
      <c r="F36" s="44" t="str">
        <f>IF(D36="","",(LARGE('Tournament Details'!$C:$C,1)+1-D36)+E36)</f>
        <v/>
      </c>
      <c r="G36" s="24" t="str">
        <f>D35</f>
        <v/>
      </c>
      <c r="H36" s="26" t="str">
        <f>IF(D36="","",IF(VLOOKUP(D36,'Tournament Details'!$C:$G,5,FALSE)="",D36,VLOOKUP(D36,'Tournament Details'!$C:$G,5,FALSE)))</f>
        <v/>
      </c>
      <c r="I36" s="12" t="str">
        <f>IF(D36=0,"",IF(VLOOKUP(D36,'Tournament Details'!$C:$E,3,FALSE)&gt;0,VLOOKUP(D36,'Tournament Details'!$C:$E,3,FALSE),""))</f>
        <v/>
      </c>
      <c r="J36" s="126"/>
      <c r="K36" s="126"/>
      <c r="L36" s="23"/>
      <c r="M36" s="24"/>
      <c r="N36" s="24"/>
      <c r="O36" s="24"/>
      <c r="P36" s="189">
        <v>0</v>
      </c>
      <c r="Q36" s="183">
        <f t="shared" si="6"/>
        <v>0</v>
      </c>
      <c r="R36" s="135" t="str">
        <f t="shared" si="7"/>
        <v/>
      </c>
      <c r="S36" s="135" t="str">
        <f>IF(Q36="","",IF(Q35+Q36&lt;&gt;20,IF(Q35+Q36&lt;&gt;0,"!",""),""))</f>
        <v/>
      </c>
      <c r="T36" s="21" t="str">
        <f t="shared" si="8"/>
        <v/>
      </c>
      <c r="U36" s="132">
        <f>IF(D36="",0,VLOOKUP(D36,'Tournament Details'!$C:$X,22,FALSE))</f>
        <v>0</v>
      </c>
      <c r="V36" s="132">
        <f>IF(D36="",0,VLOOKUP(D36,'Tournament Details'!$C:$Y,23,FALSE))</f>
        <v>0</v>
      </c>
      <c r="W36" s="132">
        <f>IF(D36="",0,VLOOKUP(D36,'Tournament Details'!$C:$Z,24,FALSE))</f>
        <v>0</v>
      </c>
      <c r="X36" s="132">
        <f>IF(D36="",0,VLOOKUP(D36,'Tournament Details'!$C:$AA,25,FALSE))</f>
        <v>0</v>
      </c>
      <c r="Y36" s="40" t="str">
        <f>IF(D36="","",IF(COUNTIF(D:D,D36)&gt;1,"DUPLICATE PLAYER",IF(D35="","NO OPPONENT",IF(D35=U36,"REPEAT MATCHUP",IF(D35=V36,"REPEAT MATCHUP",IF(H36=H35,"SAME TEAM",""))))))</f>
        <v/>
      </c>
      <c r="Z36" s="40"/>
      <c r="AA36" t="str">
        <f>IF(Y36="NO OPPONENT","",IF(Y36&lt;&gt;"",CONCATENATE("Previous Matchup Player #: ",VLOOKUP(D36,'Tournament Details'!$C:$X,22,FALSE)," - ",VLOOKUP(D36,'Tournament Details'!$C:$Y,23,FALSE)),""))</f>
        <v/>
      </c>
    </row>
    <row r="37" spans="1:27" ht="15" customHeight="1" thickBot="1" x14ac:dyDescent="0.35">
      <c r="A37" s="224" t="str">
        <f>IF('Tournament Details'!A1&gt;=1,IF(LARGE('Tournament Details'!C7:C86,1)&gt;=36,18,""),"")</f>
        <v/>
      </c>
      <c r="B37" s="42">
        <f t="shared" si="5"/>
        <v>0</v>
      </c>
      <c r="C37" s="44" t="str">
        <f t="shared" si="4"/>
        <v/>
      </c>
      <c r="D37" s="66" t="str">
        <f>IF('Tournament Details'!A1&gt;=1,IF('Tournament Details'!C41&lt;=LARGE('Round 2'!$C:$C,1),VLOOKUP(SMALL('Round 2'!$C:$C,35),'Round 2'!$C:$D,2,FALSE),""),"")</f>
        <v/>
      </c>
      <c r="E37" s="44" t="str">
        <f>IF(D37="","",B37+VLOOKUP(D37,'Round 2'!$D:$E,2,FALSE))</f>
        <v/>
      </c>
      <c r="F37" s="44" t="str">
        <f>IF(D37="","",(LARGE('Tournament Details'!$C:$C,1)+1-D37)+E37)</f>
        <v/>
      </c>
      <c r="G37" s="23" t="str">
        <f>D38</f>
        <v/>
      </c>
      <c r="H37" s="25" t="str">
        <f>IF(D37="","",IF(VLOOKUP(D37,'Tournament Details'!$C:$G,5,FALSE)="",D37,VLOOKUP(D37,'Tournament Details'!$C:$G,5,FALSE)))</f>
        <v/>
      </c>
      <c r="I37" s="7" t="str">
        <f>IF(D37=0,"",IF(VLOOKUP(D37,'Tournament Details'!$C:$E,3,FALSE)&gt;0,VLOOKUP(D37,'Tournament Details'!$C:$E,3,FALSE),""))</f>
        <v/>
      </c>
      <c r="J37" s="125"/>
      <c r="K37" s="125"/>
      <c r="L37" s="23"/>
      <c r="M37" s="23"/>
      <c r="N37" s="23"/>
      <c r="O37" s="23"/>
      <c r="P37" s="188">
        <v>0</v>
      </c>
      <c r="Q37" s="183">
        <f t="shared" si="6"/>
        <v>0</v>
      </c>
      <c r="R37" s="135" t="str">
        <f t="shared" si="7"/>
        <v/>
      </c>
      <c r="S37" s="135" t="str">
        <f>IF(Q37="","",IF(Q37+Q38&lt;&gt;20,IF(Q37+Q38&lt;&gt;0,"!",""),""))</f>
        <v/>
      </c>
      <c r="T37" s="21" t="str">
        <f t="shared" si="8"/>
        <v/>
      </c>
      <c r="U37" s="132">
        <f>IF(D37="",0,VLOOKUP(D37,'Tournament Details'!$C:$X,22,FALSE))</f>
        <v>0</v>
      </c>
      <c r="V37" s="132">
        <f>IF(D37="",0,VLOOKUP(D37,'Tournament Details'!$C:$Y,23,FALSE))</f>
        <v>0</v>
      </c>
      <c r="W37" s="132">
        <f>IF(D37="",0,VLOOKUP(D37,'Tournament Details'!$C:$Z,24,FALSE))</f>
        <v>0</v>
      </c>
      <c r="X37" s="132">
        <f>IF(D37="",0,VLOOKUP(D37,'Tournament Details'!$C:$AA,25,FALSE))</f>
        <v>0</v>
      </c>
      <c r="Y37" s="40" t="str">
        <f>IF(D37="","",IF(COUNTIF(D:D,D37)&gt;1,"DUPLICATE PLAYER",IF(D38="","NO OPPONENT",IF(D38=U37,"REPEAT MATCHUP",IF(D38=V37,"REPEAT MATCHUP",IF(H37=H38,"SAME TEAM",""))))))</f>
        <v/>
      </c>
      <c r="Z37" s="40"/>
      <c r="AA37" t="str">
        <f>IF(Y37="NO OPPONENT","",IF(Y37&lt;&gt;"",CONCATENATE("Previous Matchup Player #: ",VLOOKUP(D37,'Tournament Details'!$C:$X,22,FALSE)," - ",VLOOKUP(D37,'Tournament Details'!$C:$Y,23,FALSE)),""))</f>
        <v/>
      </c>
    </row>
    <row r="38" spans="1:27" ht="15" customHeight="1" thickBot="1" x14ac:dyDescent="0.35">
      <c r="A38" s="224"/>
      <c r="B38" s="43">
        <f t="shared" si="5"/>
        <v>0</v>
      </c>
      <c r="C38" s="44" t="str">
        <f t="shared" si="4"/>
        <v/>
      </c>
      <c r="D38" s="74" t="str">
        <f>IF('Tournament Details'!A1&gt;=1,IF('Tournament Details'!C42&lt;=LARGE('Round 2'!$C:$C,1),VLOOKUP(SMALL('Round 2'!$C:$C,36),'Round 2'!$C:$D,2,FALSE),""),"")</f>
        <v/>
      </c>
      <c r="E38" s="44" t="str">
        <f>IF(D38="","",B38+VLOOKUP(D38,'Round 2'!$D:$E,2,FALSE))</f>
        <v/>
      </c>
      <c r="F38" s="44" t="str">
        <f>IF(D38="","",(LARGE('Tournament Details'!$C:$C,1)+1-D38)+E38)</f>
        <v/>
      </c>
      <c r="G38" s="24" t="str">
        <f>D37</f>
        <v/>
      </c>
      <c r="H38" s="26" t="str">
        <f>IF(D38="","",IF(VLOOKUP(D38,'Tournament Details'!$C:$G,5,FALSE)="",D38,VLOOKUP(D38,'Tournament Details'!$C:$G,5,FALSE)))</f>
        <v/>
      </c>
      <c r="I38" s="12" t="str">
        <f>IF(D38=0,"",IF(VLOOKUP(D38,'Tournament Details'!$C:$E,3,FALSE)&gt;0,VLOOKUP(D38,'Tournament Details'!$C:$E,3,FALSE),""))</f>
        <v/>
      </c>
      <c r="J38" s="126"/>
      <c r="K38" s="126"/>
      <c r="L38" s="23"/>
      <c r="M38" s="24"/>
      <c r="N38" s="24"/>
      <c r="O38" s="24"/>
      <c r="P38" s="189">
        <v>0</v>
      </c>
      <c r="Q38" s="183">
        <f t="shared" si="6"/>
        <v>0</v>
      </c>
      <c r="R38" s="135" t="str">
        <f t="shared" si="7"/>
        <v/>
      </c>
      <c r="S38" s="135" t="str">
        <f>IF(Q38="","",IF(Q37+Q38&lt;&gt;20,IF(Q37+Q38&lt;&gt;0,"!",""),""))</f>
        <v/>
      </c>
      <c r="T38" s="21" t="str">
        <f t="shared" si="8"/>
        <v/>
      </c>
      <c r="U38" s="132">
        <f>IF(D38="",0,VLOOKUP(D38,'Tournament Details'!$C:$X,22,FALSE))</f>
        <v>0</v>
      </c>
      <c r="V38" s="132">
        <f>IF(D38="",0,VLOOKUP(D38,'Tournament Details'!$C:$Y,23,FALSE))</f>
        <v>0</v>
      </c>
      <c r="W38" s="132">
        <f>IF(D38="",0,VLOOKUP(D38,'Tournament Details'!$C:$Z,24,FALSE))</f>
        <v>0</v>
      </c>
      <c r="X38" s="132">
        <f>IF(D38="",0,VLOOKUP(D38,'Tournament Details'!$C:$AA,25,FALSE))</f>
        <v>0</v>
      </c>
      <c r="Y38" s="40" t="str">
        <f>IF(D38="","",IF(COUNTIF(D:D,D38)&gt;1,"DUPLICATE PLAYER",IF(D37="","NO OPPONENT",IF(D37=U38,"REPEAT MATCHUP",IF(D37=V38,"REPEAT MATCHUP",IF(H38=H37,"SAME TEAM",""))))))</f>
        <v/>
      </c>
      <c r="Z38" s="40"/>
      <c r="AA38" t="str">
        <f>IF(Y38="NO OPPONENT","",IF(Y38&lt;&gt;"",CONCATENATE("Previous Matchup Player #: ",VLOOKUP(D38,'Tournament Details'!$C:$X,22,FALSE)," - ",VLOOKUP(D38,'Tournament Details'!$C:$Y,23,FALSE)),""))</f>
        <v/>
      </c>
    </row>
    <row r="39" spans="1:27" ht="15" customHeight="1" thickBot="1" x14ac:dyDescent="0.35">
      <c r="A39" s="224" t="str">
        <f>IF('Tournament Details'!A1&gt;=1,IF(LARGE('Tournament Details'!C7:C86,1)&gt;=38,19,""),"")</f>
        <v/>
      </c>
      <c r="B39" s="42">
        <f t="shared" si="5"/>
        <v>0</v>
      </c>
      <c r="C39" s="44" t="str">
        <f t="shared" si="4"/>
        <v/>
      </c>
      <c r="D39" s="66" t="str">
        <f>IF('Tournament Details'!A1&gt;=1,IF('Tournament Details'!C43&lt;=LARGE('Round 2'!$C:$C,1),VLOOKUP(SMALL('Round 2'!$C:$C,37),'Round 2'!$C:$D,2,FALSE),""),"")</f>
        <v/>
      </c>
      <c r="E39" s="44" t="str">
        <f>IF(D39="","",B39+VLOOKUP(D39,'Round 2'!$D:$E,2,FALSE))</f>
        <v/>
      </c>
      <c r="F39" s="44" t="str">
        <f>IF(D39="","",(LARGE('Tournament Details'!$C:$C,1)+1-D39)+E39)</f>
        <v/>
      </c>
      <c r="G39" s="23" t="str">
        <f>D40</f>
        <v/>
      </c>
      <c r="H39" s="25" t="str">
        <f>IF(D39="","",IF(VLOOKUP(D39,'Tournament Details'!$C:$G,5,FALSE)="",D39,VLOOKUP(D39,'Tournament Details'!$C:$G,5,FALSE)))</f>
        <v/>
      </c>
      <c r="I39" s="7" t="str">
        <f>IF(D39=0,"",IF(VLOOKUP(D39,'Tournament Details'!$C:$E,3,FALSE)&gt;0,VLOOKUP(D39,'Tournament Details'!$C:$E,3,FALSE),""))</f>
        <v/>
      </c>
      <c r="J39" s="125"/>
      <c r="K39" s="125"/>
      <c r="L39" s="23"/>
      <c r="M39" s="23"/>
      <c r="N39" s="23"/>
      <c r="O39" s="23"/>
      <c r="P39" s="188">
        <v>0</v>
      </c>
      <c r="Q39" s="183">
        <f t="shared" si="6"/>
        <v>0</v>
      </c>
      <c r="R39" s="135" t="str">
        <f t="shared" si="7"/>
        <v/>
      </c>
      <c r="S39" s="135" t="str">
        <f>IF(Q39="","",IF(Q39+Q40&lt;&gt;20,IF(Q39+Q40&lt;&gt;0,"!",""),""))</f>
        <v/>
      </c>
      <c r="T39" s="21" t="str">
        <f t="shared" si="8"/>
        <v/>
      </c>
      <c r="U39" s="132">
        <f>IF(D39="",0,VLOOKUP(D39,'Tournament Details'!$C:$X,22,FALSE))</f>
        <v>0</v>
      </c>
      <c r="V39" s="132">
        <f>IF(D39="",0,VLOOKUP(D39,'Tournament Details'!$C:$Y,23,FALSE))</f>
        <v>0</v>
      </c>
      <c r="W39" s="132">
        <f>IF(D39="",0,VLOOKUP(D39,'Tournament Details'!$C:$Z,24,FALSE))</f>
        <v>0</v>
      </c>
      <c r="X39" s="132">
        <f>IF(D39="",0,VLOOKUP(D39,'Tournament Details'!$C:$AA,25,FALSE))</f>
        <v>0</v>
      </c>
      <c r="Y39" s="40" t="str">
        <f>IF(D39="","",IF(COUNTIF(D:D,D39)&gt;1,"DUPLICATE PLAYER",IF(D40="","NO OPPONENT",IF(D40=U39,"REPEAT MATCHUP",IF(D40=V39,"REPEAT MATCHUP",IF(H39=H40,"SAME TEAM",""))))))</f>
        <v/>
      </c>
      <c r="Z39" s="40"/>
      <c r="AA39" t="str">
        <f>IF(Y39="NO OPPONENT","",IF(Y39&lt;&gt;"",CONCATENATE("Previous Matchup Player #: ",VLOOKUP(D39,'Tournament Details'!$C:$X,22,FALSE)," - ",VLOOKUP(D39,'Tournament Details'!$C:$Y,23,FALSE)),""))</f>
        <v/>
      </c>
    </row>
    <row r="40" spans="1:27" ht="15" customHeight="1" thickBot="1" x14ac:dyDescent="0.35">
      <c r="A40" s="224"/>
      <c r="B40" s="43">
        <f t="shared" si="5"/>
        <v>0</v>
      </c>
      <c r="C40" s="44" t="str">
        <f t="shared" si="4"/>
        <v/>
      </c>
      <c r="D40" s="74" t="str">
        <f>IF('Tournament Details'!A1&gt;=1,IF('Tournament Details'!C44&lt;=LARGE('Round 2'!$C:$C,1),VLOOKUP(SMALL('Round 2'!$C:$C,38),'Round 2'!$C:$D,2,FALSE),""),"")</f>
        <v/>
      </c>
      <c r="E40" s="44" t="str">
        <f>IF(D40="","",B40+VLOOKUP(D40,'Round 2'!$D:$E,2,FALSE))</f>
        <v/>
      </c>
      <c r="F40" s="44" t="str">
        <f>IF(D40="","",(LARGE('Tournament Details'!$C:$C,1)+1-D40)+E40)</f>
        <v/>
      </c>
      <c r="G40" s="24" t="str">
        <f>D39</f>
        <v/>
      </c>
      <c r="H40" s="26" t="str">
        <f>IF(D40="","",IF(VLOOKUP(D40,'Tournament Details'!$C:$G,5,FALSE)="",D40,VLOOKUP(D40,'Tournament Details'!$C:$G,5,FALSE)))</f>
        <v/>
      </c>
      <c r="I40" s="12" t="str">
        <f>IF(D40=0,"",IF(VLOOKUP(D40,'Tournament Details'!$C:$E,3,FALSE)&gt;0,VLOOKUP(D40,'Tournament Details'!$C:$E,3,FALSE),""))</f>
        <v/>
      </c>
      <c r="J40" s="126"/>
      <c r="K40" s="126"/>
      <c r="L40" s="23"/>
      <c r="M40" s="24"/>
      <c r="N40" s="24"/>
      <c r="O40" s="24"/>
      <c r="P40" s="189">
        <v>0</v>
      </c>
      <c r="Q40" s="183">
        <f t="shared" si="6"/>
        <v>0</v>
      </c>
      <c r="R40" s="135" t="str">
        <f t="shared" si="7"/>
        <v/>
      </c>
      <c r="S40" s="135" t="str">
        <f>IF(Q40="","",IF(Q39+Q40&lt;&gt;20,IF(Q39+Q40&lt;&gt;0,"!",""),""))</f>
        <v/>
      </c>
      <c r="T40" s="21" t="str">
        <f t="shared" si="8"/>
        <v/>
      </c>
      <c r="U40" s="132">
        <f>IF(D40="",0,VLOOKUP(D40,'Tournament Details'!$C:$X,22,FALSE))</f>
        <v>0</v>
      </c>
      <c r="V40" s="132">
        <f>IF(D40="",0,VLOOKUP(D40,'Tournament Details'!$C:$Y,23,FALSE))</f>
        <v>0</v>
      </c>
      <c r="W40" s="132">
        <f>IF(D40="",0,VLOOKUP(D40,'Tournament Details'!$C:$Z,24,FALSE))</f>
        <v>0</v>
      </c>
      <c r="X40" s="132">
        <f>IF(D40="",0,VLOOKUP(D40,'Tournament Details'!$C:$AA,25,FALSE))</f>
        <v>0</v>
      </c>
      <c r="Y40" s="40" t="str">
        <f>IF(D40="","",IF(COUNTIF(D:D,D40)&gt;1,"DUPLICATE PLAYER",IF(D39="","NO OPPONENT",IF(D39=U40,"REPEAT MATCHUP",IF(D39=V40,"REPEAT MATCHUP",IF(H40=H39,"SAME TEAM",""))))))</f>
        <v/>
      </c>
      <c r="Z40" s="40"/>
      <c r="AA40" t="str">
        <f>IF(Y40="NO OPPONENT","",IF(Y40&lt;&gt;"",CONCATENATE("Previous Matchup Player #: ",VLOOKUP(D40,'Tournament Details'!$C:$X,22,FALSE)," - ",VLOOKUP(D40,'Tournament Details'!$C:$Y,23,FALSE)),""))</f>
        <v/>
      </c>
    </row>
    <row r="41" spans="1:27" ht="15" customHeight="1" thickBot="1" x14ac:dyDescent="0.35">
      <c r="A41" s="224" t="str">
        <f>IF('Tournament Details'!A1&gt;=1,IF(LARGE('Tournament Details'!C7:C86,1)&gt;=40,20,""),"")</f>
        <v/>
      </c>
      <c r="B41" s="42">
        <f t="shared" si="5"/>
        <v>0</v>
      </c>
      <c r="C41" s="44" t="str">
        <f t="shared" si="4"/>
        <v/>
      </c>
      <c r="D41" s="66" t="str">
        <f>IF('Tournament Details'!A1&gt;=1,IF('Tournament Details'!C45&lt;=LARGE('Round 2'!$C:$C,1),VLOOKUP(SMALL('Round 2'!$C:$C,39),'Round 2'!$C:$D,2,FALSE),""),"")</f>
        <v/>
      </c>
      <c r="E41" s="44" t="str">
        <f>IF(D41="","",B41+VLOOKUP(D41,'Round 2'!$D:$E,2,FALSE))</f>
        <v/>
      </c>
      <c r="F41" s="44" t="str">
        <f>IF(D41="","",(LARGE('Tournament Details'!$C:$C,1)+1-D41)+E41)</f>
        <v/>
      </c>
      <c r="G41" s="23" t="str">
        <f>D42</f>
        <v/>
      </c>
      <c r="H41" s="25" t="str">
        <f>IF(D41="","",IF(VLOOKUP(D41,'Tournament Details'!$C:$G,5,FALSE)="",D41,VLOOKUP(D41,'Tournament Details'!$C:$G,5,FALSE)))</f>
        <v/>
      </c>
      <c r="I41" s="7" t="str">
        <f>IF(D41=0,"",IF(VLOOKUP(D41,'Tournament Details'!$C:$E,3,FALSE)&gt;0,VLOOKUP(D41,'Tournament Details'!$C:$E,3,FALSE),""))</f>
        <v/>
      </c>
      <c r="J41" s="125"/>
      <c r="K41" s="125"/>
      <c r="L41" s="23"/>
      <c r="M41" s="23"/>
      <c r="N41" s="23"/>
      <c r="O41" s="23"/>
      <c r="P41" s="188">
        <v>0</v>
      </c>
      <c r="Q41" s="183">
        <f t="shared" si="6"/>
        <v>0</v>
      </c>
      <c r="R41" s="135" t="str">
        <f t="shared" si="7"/>
        <v/>
      </c>
      <c r="S41" s="135" t="str">
        <f>IF(Q41="","",IF(Q41+Q42&lt;&gt;20,IF(Q41+Q42&lt;&gt;0,"!",""),""))</f>
        <v/>
      </c>
      <c r="T41" s="21" t="str">
        <f t="shared" si="8"/>
        <v/>
      </c>
      <c r="U41" s="132">
        <f>IF(D41="",0,VLOOKUP(D41,'Tournament Details'!$C:$X,22,FALSE))</f>
        <v>0</v>
      </c>
      <c r="V41" s="132">
        <f>IF(D41="",0,VLOOKUP(D41,'Tournament Details'!$C:$Y,23,FALSE))</f>
        <v>0</v>
      </c>
      <c r="W41" s="132">
        <f>IF(D41="",0,VLOOKUP(D41,'Tournament Details'!$C:$Z,24,FALSE))</f>
        <v>0</v>
      </c>
      <c r="X41" s="132">
        <f>IF(D41="",0,VLOOKUP(D41,'Tournament Details'!$C:$AA,25,FALSE))</f>
        <v>0</v>
      </c>
      <c r="Y41" s="40" t="str">
        <f>IF(D41="","",IF(COUNTIF(D:D,D41)&gt;1,"DUPLICATE PLAYER",IF(D42="","NO OPPONENT",IF(D42=U41,"REPEAT MATCHUP",IF(D42=V41,"REPEAT MATCHUP",IF(H41=H42,"SAME TEAM",""))))))</f>
        <v/>
      </c>
      <c r="Z41" s="40"/>
      <c r="AA41" t="str">
        <f>IF(Y41="NO OPPONENT","",IF(Y41&lt;&gt;"",CONCATENATE("Previous Matchup Player #: ",VLOOKUP(D41,'Tournament Details'!$C:$X,22,FALSE)," - ",VLOOKUP(D41,'Tournament Details'!$C:$Y,23,FALSE)),""))</f>
        <v/>
      </c>
    </row>
    <row r="42" spans="1:27" ht="15" customHeight="1" thickBot="1" x14ac:dyDescent="0.35">
      <c r="A42" s="224"/>
      <c r="B42" s="43">
        <f t="shared" si="5"/>
        <v>0</v>
      </c>
      <c r="C42" s="44" t="str">
        <f t="shared" si="4"/>
        <v/>
      </c>
      <c r="D42" s="74" t="str">
        <f>IF('Tournament Details'!A1&gt;=1,IF('Tournament Details'!C46&lt;=LARGE('Round 2'!$C:$C,1),VLOOKUP(SMALL('Round 2'!$C:$C,40),'Round 2'!$C:$D,2,FALSE),""),"")</f>
        <v/>
      </c>
      <c r="E42" s="44" t="str">
        <f>IF(D42="","",B42+VLOOKUP(D42,'Round 2'!$D:$E,2,FALSE))</f>
        <v/>
      </c>
      <c r="F42" s="44" t="str">
        <f>IF(D42="","",(LARGE('Tournament Details'!$C:$C,1)+1-D42)+E42)</f>
        <v/>
      </c>
      <c r="G42" s="24" t="str">
        <f>D41</f>
        <v/>
      </c>
      <c r="H42" s="26" t="str">
        <f>IF(D42="","",IF(VLOOKUP(D42,'Tournament Details'!$C:$G,5,FALSE)="",D42,VLOOKUP(D42,'Tournament Details'!$C:$G,5,FALSE)))</f>
        <v/>
      </c>
      <c r="I42" s="12" t="str">
        <f>IF(D42=0,"",IF(VLOOKUP(D42,'Tournament Details'!$C:$E,3,FALSE)&gt;0,VLOOKUP(D42,'Tournament Details'!$C:$E,3,FALSE),""))</f>
        <v/>
      </c>
      <c r="J42" s="126"/>
      <c r="K42" s="126"/>
      <c r="L42" s="23"/>
      <c r="M42" s="24"/>
      <c r="N42" s="24"/>
      <c r="O42" s="24"/>
      <c r="P42" s="189">
        <v>0</v>
      </c>
      <c r="Q42" s="183">
        <f t="shared" si="6"/>
        <v>0</v>
      </c>
      <c r="R42" s="135" t="str">
        <f t="shared" si="7"/>
        <v/>
      </c>
      <c r="S42" s="135" t="str">
        <f>IF(Q42="","",IF(Q41+Q42&lt;&gt;20,IF(Q41+Q42&lt;&gt;0,"!",""),""))</f>
        <v/>
      </c>
      <c r="T42" s="21" t="str">
        <f t="shared" si="8"/>
        <v/>
      </c>
      <c r="U42" s="132">
        <f>IF(D42="",0,VLOOKUP(D42,'Tournament Details'!$C:$X,22,FALSE))</f>
        <v>0</v>
      </c>
      <c r="V42" s="132">
        <f>IF(D42="",0,VLOOKUP(D42,'Tournament Details'!$C:$Y,23,FALSE))</f>
        <v>0</v>
      </c>
      <c r="W42" s="132">
        <f>IF(D42="",0,VLOOKUP(D42,'Tournament Details'!$C:$Z,24,FALSE))</f>
        <v>0</v>
      </c>
      <c r="X42" s="132">
        <f>IF(D42="",0,VLOOKUP(D42,'Tournament Details'!$C:$AA,25,FALSE))</f>
        <v>0</v>
      </c>
      <c r="Y42" s="40" t="str">
        <f>IF(D42="","",IF(COUNTIF(D:D,D42)&gt;1,"DUPLICATE PLAYER",IF(D41="","NO OPPONENT",IF(D41=U42,"REPEAT MATCHUP",IF(D41=V42,"REPEAT MATCHUP",IF(H42=H41,"SAME TEAM",""))))))</f>
        <v/>
      </c>
      <c r="Z42" s="40"/>
      <c r="AA42" t="str">
        <f>IF(Y42="NO OPPONENT","",IF(Y42&lt;&gt;"",CONCATENATE("Previous Matchup Player #: ",VLOOKUP(D42,'Tournament Details'!$C:$X,22,FALSE)," - ",VLOOKUP(D42,'Tournament Details'!$C:$Y,23,FALSE)),""))</f>
        <v/>
      </c>
    </row>
    <row r="43" spans="1:27" ht="15" customHeight="1" thickBot="1" x14ac:dyDescent="0.35">
      <c r="A43" s="224" t="str">
        <f>IF('Tournament Details'!A1&gt;=1,IF(LARGE('Tournament Details'!C7:C86,1)&gt;=42,21,""),"")</f>
        <v/>
      </c>
      <c r="B43" s="42">
        <f t="shared" si="5"/>
        <v>0</v>
      </c>
      <c r="C43" s="44" t="str">
        <f t="shared" si="4"/>
        <v/>
      </c>
      <c r="D43" s="66" t="str">
        <f>IF('Tournament Details'!A1&gt;=1,IF('Tournament Details'!C47&lt;=LARGE('Round 2'!$C:$C,1),VLOOKUP(SMALL('Round 2'!$C:$C,41),'Round 2'!$C:$D,2,FALSE),""),"")</f>
        <v/>
      </c>
      <c r="E43" s="44" t="str">
        <f>IF(D43="","",B43+VLOOKUP(D43,'Round 2'!$D:$E,2,FALSE))</f>
        <v/>
      </c>
      <c r="F43" s="44" t="str">
        <f>IF(D43="","",(LARGE('Tournament Details'!$C:$C,1)+1-D43)+E43)</f>
        <v/>
      </c>
      <c r="G43" s="23" t="str">
        <f>D44</f>
        <v/>
      </c>
      <c r="H43" s="25" t="str">
        <f>IF(D43="","",IF(VLOOKUP(D43,'Tournament Details'!$C:$G,5,FALSE)="",D43,VLOOKUP(D43,'Tournament Details'!$C:$G,5,FALSE)))</f>
        <v/>
      </c>
      <c r="I43" s="7" t="str">
        <f>IF(D43=0,"",IF(VLOOKUP(D43,'Tournament Details'!$C:$E,3,FALSE)&gt;0,VLOOKUP(D43,'Tournament Details'!$C:$E,3,FALSE),""))</f>
        <v/>
      </c>
      <c r="J43" s="125"/>
      <c r="K43" s="125"/>
      <c r="L43" s="23"/>
      <c r="M43" s="23"/>
      <c r="N43" s="23"/>
      <c r="O43" s="23"/>
      <c r="P43" s="188">
        <v>0</v>
      </c>
      <c r="Q43" s="183">
        <f t="shared" si="6"/>
        <v>0</v>
      </c>
      <c r="R43" s="135" t="str">
        <f t="shared" si="7"/>
        <v/>
      </c>
      <c r="S43" s="135" t="str">
        <f>IF(Q43="","",IF(Q43+Q44&lt;&gt;20,IF(Q43+Q44&lt;&gt;0,"!",""),""))</f>
        <v/>
      </c>
      <c r="T43" s="21" t="str">
        <f t="shared" si="8"/>
        <v/>
      </c>
      <c r="U43" s="132">
        <f>IF(D43="",0,VLOOKUP(D43,'Tournament Details'!$C:$X,22,FALSE))</f>
        <v>0</v>
      </c>
      <c r="V43" s="132">
        <f>IF(D43="",0,VLOOKUP(D43,'Tournament Details'!$C:$Y,23,FALSE))</f>
        <v>0</v>
      </c>
      <c r="W43" s="132">
        <f>IF(D43="",0,VLOOKUP(D43,'Tournament Details'!$C:$Z,24,FALSE))</f>
        <v>0</v>
      </c>
      <c r="X43" s="132">
        <f>IF(D43="",0,VLOOKUP(D43,'Tournament Details'!$C:$AA,25,FALSE))</f>
        <v>0</v>
      </c>
      <c r="Y43" s="40" t="str">
        <f>IF(D43="","",IF(COUNTIF(D:D,D43)&gt;1,"DUPLICATE PLAYER",IF(D44="","NO OPPONENT",IF(D44=U43,"REPEAT MATCHUP",IF(D44=V43,"REPEAT MATCHUP",IF(H43=H44,"SAME TEAM",""))))))</f>
        <v/>
      </c>
      <c r="Z43" s="40"/>
      <c r="AA43" t="str">
        <f>IF(Y43="NO OPPONENT","",IF(Y43&lt;&gt;"",CONCATENATE("Previous Matchup Player #: ",VLOOKUP(D43,'Tournament Details'!$C:$X,22,FALSE)," - ",VLOOKUP(D43,'Tournament Details'!$C:$Y,23,FALSE)),""))</f>
        <v/>
      </c>
    </row>
    <row r="44" spans="1:27" ht="15" customHeight="1" thickBot="1" x14ac:dyDescent="0.35">
      <c r="A44" s="224"/>
      <c r="B44" s="43">
        <f t="shared" si="5"/>
        <v>0</v>
      </c>
      <c r="C44" s="44" t="str">
        <f t="shared" si="4"/>
        <v/>
      </c>
      <c r="D44" s="74" t="str">
        <f>IF('Tournament Details'!A1&gt;=1,IF('Tournament Details'!C48&lt;=LARGE('Round 2'!$C:$C,1),VLOOKUP(SMALL('Round 2'!$C:$C,42),'Round 2'!$C:$D,2,FALSE),""),"")</f>
        <v/>
      </c>
      <c r="E44" s="44" t="str">
        <f>IF(D44="","",B44+VLOOKUP(D44,'Round 2'!$D:$E,2,FALSE))</f>
        <v/>
      </c>
      <c r="F44" s="44" t="str">
        <f>IF(D44="","",(LARGE('Tournament Details'!$C:$C,1)+1-D44)+E44)</f>
        <v/>
      </c>
      <c r="G44" s="24" t="str">
        <f>D43</f>
        <v/>
      </c>
      <c r="H44" s="26" t="str">
        <f>IF(D44="","",IF(VLOOKUP(D44,'Tournament Details'!$C:$G,5,FALSE)="",D44,VLOOKUP(D44,'Tournament Details'!$C:$G,5,FALSE)))</f>
        <v/>
      </c>
      <c r="I44" s="12" t="str">
        <f>IF(D44=0,"",IF(VLOOKUP(D44,'Tournament Details'!$C:$E,3,FALSE)&gt;0,VLOOKUP(D44,'Tournament Details'!$C:$E,3,FALSE),""))</f>
        <v/>
      </c>
      <c r="J44" s="126"/>
      <c r="K44" s="126"/>
      <c r="L44" s="23"/>
      <c r="M44" s="24"/>
      <c r="N44" s="24"/>
      <c r="O44" s="24"/>
      <c r="P44" s="189">
        <v>0</v>
      </c>
      <c r="Q44" s="183">
        <f t="shared" si="6"/>
        <v>0</v>
      </c>
      <c r="R44" s="135" t="str">
        <f t="shared" si="7"/>
        <v/>
      </c>
      <c r="S44" s="135" t="str">
        <f>IF(Q44="","",IF(Q43+Q44&lt;&gt;20,IF(Q43+Q44&lt;&gt;0,"!",""),""))</f>
        <v/>
      </c>
      <c r="T44" s="21" t="str">
        <f t="shared" si="8"/>
        <v/>
      </c>
      <c r="U44" s="132">
        <f>IF(D44="",0,VLOOKUP(D44,'Tournament Details'!$C:$X,22,FALSE))</f>
        <v>0</v>
      </c>
      <c r="V44" s="132">
        <f>IF(D44="",0,VLOOKUP(D44,'Tournament Details'!$C:$Y,23,FALSE))</f>
        <v>0</v>
      </c>
      <c r="W44" s="132">
        <f>IF(D44="",0,VLOOKUP(D44,'Tournament Details'!$C:$Z,24,FALSE))</f>
        <v>0</v>
      </c>
      <c r="X44" s="132">
        <f>IF(D44="",0,VLOOKUP(D44,'Tournament Details'!$C:$AA,25,FALSE))</f>
        <v>0</v>
      </c>
      <c r="Y44" s="40" t="str">
        <f>IF(D44="","",IF(COUNTIF(D:D,D44)&gt;1,"DUPLICATE PLAYER",IF(D43="","NO OPPONENT",IF(D43=U44,"REPEAT MATCHUP",IF(D43=V44,"REPEAT MATCHUP",IF(H44=H43,"SAME TEAM",""))))))</f>
        <v/>
      </c>
      <c r="Z44" s="40"/>
      <c r="AA44" t="str">
        <f>IF(Y44="NO OPPONENT","",IF(Y44&lt;&gt;"",CONCATENATE("Previous Matchup Player #: ",VLOOKUP(D44,'Tournament Details'!$C:$X,22,FALSE)," - ",VLOOKUP(D44,'Tournament Details'!$C:$Y,23,FALSE)),""))</f>
        <v/>
      </c>
    </row>
    <row r="45" spans="1:27" ht="15" customHeight="1" thickBot="1" x14ac:dyDescent="0.35">
      <c r="A45" s="224" t="str">
        <f>IF('Tournament Details'!A1&gt;=1,IF(LARGE('Tournament Details'!C7:C86,1)&gt;=44,22,""),"")</f>
        <v/>
      </c>
      <c r="B45" s="42">
        <f t="shared" si="5"/>
        <v>0</v>
      </c>
      <c r="C45" s="44" t="str">
        <f t="shared" si="4"/>
        <v/>
      </c>
      <c r="D45" s="66" t="str">
        <f>IF('Tournament Details'!A1&gt;=1,IF('Tournament Details'!C49&lt;=LARGE('Round 2'!$C:$C,1),VLOOKUP(SMALL('Round 2'!$C:$C,43),'Round 2'!$C:$D,2,FALSE),""),"")</f>
        <v/>
      </c>
      <c r="E45" s="44" t="str">
        <f>IF(D45="","",B45+VLOOKUP(D45,'Round 2'!$D:$E,2,FALSE))</f>
        <v/>
      </c>
      <c r="F45" s="44" t="str">
        <f>IF(D45="","",(LARGE('Tournament Details'!$C:$C,1)+1-D45)+E45)</f>
        <v/>
      </c>
      <c r="G45" s="23" t="str">
        <f>D46</f>
        <v/>
      </c>
      <c r="H45" s="25" t="str">
        <f>IF(D45="","",IF(VLOOKUP(D45,'Tournament Details'!$C:$G,5,FALSE)="",D45,VLOOKUP(D45,'Tournament Details'!$C:$G,5,FALSE)))</f>
        <v/>
      </c>
      <c r="I45" s="7" t="str">
        <f>IF(D45=0,"",IF(VLOOKUP(D45,'Tournament Details'!$C:$E,3,FALSE)&gt;0,VLOOKUP(D45,'Tournament Details'!$C:$E,3,FALSE),""))</f>
        <v/>
      </c>
      <c r="J45" s="125"/>
      <c r="K45" s="125"/>
      <c r="L45" s="23"/>
      <c r="M45" s="23"/>
      <c r="N45" s="23"/>
      <c r="O45" s="23"/>
      <c r="P45" s="188">
        <v>0</v>
      </c>
      <c r="Q45" s="183">
        <f t="shared" si="6"/>
        <v>0</v>
      </c>
      <c r="R45" s="135" t="str">
        <f t="shared" si="7"/>
        <v/>
      </c>
      <c r="S45" s="135" t="str">
        <f>IF(Q45="","",IF(Q45+Q46&lt;&gt;20,IF(Q45+Q46&lt;&gt;0,"!",""),""))</f>
        <v/>
      </c>
      <c r="T45" s="21" t="str">
        <f t="shared" si="8"/>
        <v/>
      </c>
      <c r="U45" s="132">
        <f>IF(D45="",0,VLOOKUP(D45,'Tournament Details'!$C:$X,22,FALSE))</f>
        <v>0</v>
      </c>
      <c r="V45" s="132">
        <f>IF(D45="",0,VLOOKUP(D45,'Tournament Details'!$C:$Y,23,FALSE))</f>
        <v>0</v>
      </c>
      <c r="W45" s="132">
        <f>IF(D45="",0,VLOOKUP(D45,'Tournament Details'!$C:$Z,24,FALSE))</f>
        <v>0</v>
      </c>
      <c r="X45" s="132">
        <f>IF(D45="",0,VLOOKUP(D45,'Tournament Details'!$C:$AA,25,FALSE))</f>
        <v>0</v>
      </c>
      <c r="Y45" s="40" t="str">
        <f>IF(D45="","",IF(COUNTIF(D:D,D45)&gt;1,"DUPLICATE PLAYER",IF(D46="","NO OPPONENT",IF(D46=U45,"REPEAT MATCHUP",IF(D46=V45,"REPEAT MATCHUP",IF(H45=H46,"SAME TEAM",""))))))</f>
        <v/>
      </c>
      <c r="Z45" s="40"/>
      <c r="AA45" t="str">
        <f>IF(Y45="NO OPPONENT","",IF(Y45&lt;&gt;"",CONCATENATE("Previous Matchup Player #: ",VLOOKUP(D45,'Tournament Details'!$C:$X,22,FALSE)," - ",VLOOKUP(D45,'Tournament Details'!$C:$Y,23,FALSE)),""))</f>
        <v/>
      </c>
    </row>
    <row r="46" spans="1:27" ht="15" customHeight="1" thickBot="1" x14ac:dyDescent="0.35">
      <c r="A46" s="224"/>
      <c r="B46" s="43">
        <f t="shared" si="5"/>
        <v>0</v>
      </c>
      <c r="C46" s="44" t="str">
        <f t="shared" si="4"/>
        <v/>
      </c>
      <c r="D46" s="74" t="str">
        <f>IF('Tournament Details'!A1&gt;=1,IF('Tournament Details'!C50&lt;=LARGE('Round 2'!$C:$C,1),VLOOKUP(SMALL('Round 2'!$C:$C,44),'Round 2'!$C:$D,2,FALSE),""),"")</f>
        <v/>
      </c>
      <c r="E46" s="44" t="str">
        <f>IF(D46="","",B46+VLOOKUP(D46,'Round 2'!$D:$E,2,FALSE))</f>
        <v/>
      </c>
      <c r="F46" s="44" t="str">
        <f>IF(D46="","",(LARGE('Tournament Details'!$C:$C,1)+1-D46)+E46)</f>
        <v/>
      </c>
      <c r="G46" s="24" t="str">
        <f>D45</f>
        <v/>
      </c>
      <c r="H46" s="26" t="str">
        <f>IF(D46="","",IF(VLOOKUP(D46,'Tournament Details'!$C:$G,5,FALSE)="",D46,VLOOKUP(D46,'Tournament Details'!$C:$G,5,FALSE)))</f>
        <v/>
      </c>
      <c r="I46" s="12" t="str">
        <f>IF(D46=0,"",IF(VLOOKUP(D46,'Tournament Details'!$C:$E,3,FALSE)&gt;0,VLOOKUP(D46,'Tournament Details'!$C:$E,3,FALSE),""))</f>
        <v/>
      </c>
      <c r="J46" s="126"/>
      <c r="K46" s="126"/>
      <c r="L46" s="23"/>
      <c r="M46" s="24"/>
      <c r="N46" s="24"/>
      <c r="O46" s="24"/>
      <c r="P46" s="189">
        <v>0</v>
      </c>
      <c r="Q46" s="183">
        <f t="shared" si="6"/>
        <v>0</v>
      </c>
      <c r="R46" s="135" t="str">
        <f t="shared" si="7"/>
        <v/>
      </c>
      <c r="S46" s="135" t="str">
        <f>IF(Q46="","",IF(Q45+Q46&lt;&gt;20,IF(Q45+Q46&lt;&gt;0,"!",""),""))</f>
        <v/>
      </c>
      <c r="T46" s="21" t="str">
        <f t="shared" si="8"/>
        <v/>
      </c>
      <c r="U46" s="132">
        <f>IF(D46="",0,VLOOKUP(D46,'Tournament Details'!$C:$X,22,FALSE))</f>
        <v>0</v>
      </c>
      <c r="V46" s="132">
        <f>IF(D46="",0,VLOOKUP(D46,'Tournament Details'!$C:$Y,23,FALSE))</f>
        <v>0</v>
      </c>
      <c r="W46" s="132">
        <f>IF(D46="",0,VLOOKUP(D46,'Tournament Details'!$C:$Z,24,FALSE))</f>
        <v>0</v>
      </c>
      <c r="X46" s="132">
        <f>IF(D46="",0,VLOOKUP(D46,'Tournament Details'!$C:$AA,25,FALSE))</f>
        <v>0</v>
      </c>
      <c r="Y46" s="40" t="str">
        <f>IF(D46="","",IF(COUNTIF(D:D,D46)&gt;1,"DUPLICATE PLAYER",IF(D45="","NO OPPONENT",IF(D45=U46,"REPEAT MATCHUP",IF(D45=V46,"REPEAT MATCHUP",IF(H46=H45,"SAME TEAM",""))))))</f>
        <v/>
      </c>
      <c r="Z46" s="40"/>
      <c r="AA46" t="str">
        <f>IF(Y46="NO OPPONENT","",IF(Y46&lt;&gt;"",CONCATENATE("Previous Matchup Player #: ",VLOOKUP(D46,'Tournament Details'!$C:$X,22,FALSE)," - ",VLOOKUP(D46,'Tournament Details'!$C:$Y,23,FALSE)),""))</f>
        <v/>
      </c>
    </row>
    <row r="47" spans="1:27" ht="15" customHeight="1" thickBot="1" x14ac:dyDescent="0.35">
      <c r="A47" s="224" t="str">
        <f>IF('Tournament Details'!A1&gt;=1,IF(LARGE('Tournament Details'!C7:C86,1)&gt;=46,23,""),"")</f>
        <v/>
      </c>
      <c r="B47" s="42">
        <f t="shared" si="5"/>
        <v>0</v>
      </c>
      <c r="C47" s="44" t="str">
        <f t="shared" si="4"/>
        <v/>
      </c>
      <c r="D47" s="66" t="str">
        <f>IF('Tournament Details'!A1&gt;=1,IF('Tournament Details'!C51&lt;=LARGE('Round 2'!$C:$C,1),VLOOKUP(SMALL('Round 2'!$C:$C,45),'Round 2'!$C:$D,2,FALSE),""),"")</f>
        <v/>
      </c>
      <c r="E47" s="44" t="str">
        <f>IF(D47="","",B47+VLOOKUP(D47,'Round 2'!$D:$E,2,FALSE))</f>
        <v/>
      </c>
      <c r="F47" s="44" t="str">
        <f>IF(D47="","",(LARGE('Tournament Details'!$C:$C,1)+1-D47)+E47)</f>
        <v/>
      </c>
      <c r="G47" s="23" t="str">
        <f>D48</f>
        <v/>
      </c>
      <c r="H47" s="25" t="str">
        <f>IF(D47="","",IF(VLOOKUP(D47,'Tournament Details'!$C:$G,5,FALSE)="",D47,VLOOKUP(D47,'Tournament Details'!$C:$G,5,FALSE)))</f>
        <v/>
      </c>
      <c r="I47" s="7" t="str">
        <f>IF(D47=0,"",IF(VLOOKUP(D47,'Tournament Details'!$C:$E,3,FALSE)&gt;0,VLOOKUP(D47,'Tournament Details'!$C:$E,3,FALSE),""))</f>
        <v/>
      </c>
      <c r="J47" s="125"/>
      <c r="K47" s="125"/>
      <c r="L47" s="23"/>
      <c r="M47" s="23"/>
      <c r="N47" s="23"/>
      <c r="O47" s="23"/>
      <c r="P47" s="188">
        <v>0</v>
      </c>
      <c r="Q47" s="183">
        <f t="shared" si="6"/>
        <v>0</v>
      </c>
      <c r="R47" s="135" t="str">
        <f t="shared" si="7"/>
        <v/>
      </c>
      <c r="S47" s="135" t="str">
        <f>IF(Q47="","",IF(Q47+Q48&lt;&gt;20,IF(Q47+Q48&lt;&gt;0,"!",""),""))</f>
        <v/>
      </c>
      <c r="T47" s="21" t="str">
        <f t="shared" si="8"/>
        <v/>
      </c>
      <c r="U47" s="132">
        <f>IF(D47="",0,VLOOKUP(D47,'Tournament Details'!$C:$X,22,FALSE))</f>
        <v>0</v>
      </c>
      <c r="V47" s="132">
        <f>IF(D47="",0,VLOOKUP(D47,'Tournament Details'!$C:$Y,23,FALSE))</f>
        <v>0</v>
      </c>
      <c r="W47" s="132">
        <f>IF(D47="",0,VLOOKUP(D47,'Tournament Details'!$C:$Z,24,FALSE))</f>
        <v>0</v>
      </c>
      <c r="X47" s="132">
        <f>IF(D47="",0,VLOOKUP(D47,'Tournament Details'!$C:$AA,25,FALSE))</f>
        <v>0</v>
      </c>
      <c r="Y47" s="40" t="str">
        <f>IF(D47="","",IF(COUNTIF(D:D,D47)&gt;1,"DUPLICATE PLAYER",IF(D48="","NO OPPONENT",IF(D48=U47,"REPEAT MATCHUP",IF(D48=V47,"REPEAT MATCHUP",IF(H47=H48,"SAME TEAM",""))))))</f>
        <v/>
      </c>
      <c r="Z47" s="40"/>
      <c r="AA47" t="str">
        <f>IF(Y47="NO OPPONENT","",IF(Y47&lt;&gt;"",CONCATENATE("Previous Matchup Player #: ",VLOOKUP(D47,'Tournament Details'!$C:$X,22,FALSE)," - ",VLOOKUP(D47,'Tournament Details'!$C:$Y,23,FALSE)),""))</f>
        <v/>
      </c>
    </row>
    <row r="48" spans="1:27" ht="15" customHeight="1" thickBot="1" x14ac:dyDescent="0.35">
      <c r="A48" s="224"/>
      <c r="B48" s="43">
        <f t="shared" si="5"/>
        <v>0</v>
      </c>
      <c r="C48" s="44" t="str">
        <f t="shared" si="4"/>
        <v/>
      </c>
      <c r="D48" s="74" t="str">
        <f>IF('Tournament Details'!A1&gt;=1,IF('Tournament Details'!C52&lt;=LARGE('Round 2'!$C:$C,1),VLOOKUP(SMALL('Round 2'!$C:$C,46),'Round 2'!$C:$D,2,FALSE),""),"")</f>
        <v/>
      </c>
      <c r="E48" s="44" t="str">
        <f>IF(D48="","",B48+VLOOKUP(D48,'Round 2'!$D:$E,2,FALSE))</f>
        <v/>
      </c>
      <c r="F48" s="44" t="str">
        <f>IF(D48="","",(LARGE('Tournament Details'!$C:$C,1)+1-D48)+E48)</f>
        <v/>
      </c>
      <c r="G48" s="24" t="str">
        <f>D47</f>
        <v/>
      </c>
      <c r="H48" s="26" t="str">
        <f>IF(D48="","",IF(VLOOKUP(D48,'Tournament Details'!$C:$G,5,FALSE)="",D48,VLOOKUP(D48,'Tournament Details'!$C:$G,5,FALSE)))</f>
        <v/>
      </c>
      <c r="I48" s="12" t="str">
        <f>IF(D48=0,"",IF(VLOOKUP(D48,'Tournament Details'!$C:$E,3,FALSE)&gt;0,VLOOKUP(D48,'Tournament Details'!$C:$E,3,FALSE),""))</f>
        <v/>
      </c>
      <c r="J48" s="126"/>
      <c r="K48" s="126"/>
      <c r="L48" s="23"/>
      <c r="M48" s="24"/>
      <c r="N48" s="24"/>
      <c r="O48" s="24"/>
      <c r="P48" s="189">
        <v>0</v>
      </c>
      <c r="Q48" s="183">
        <f t="shared" si="6"/>
        <v>0</v>
      </c>
      <c r="R48" s="135" t="str">
        <f t="shared" si="7"/>
        <v/>
      </c>
      <c r="S48" s="135" t="str">
        <f>IF(Q48="","",IF(Q47+Q48&lt;&gt;20,IF(Q47+Q48&lt;&gt;0,"!",""),""))</f>
        <v/>
      </c>
      <c r="T48" s="21" t="str">
        <f t="shared" si="8"/>
        <v/>
      </c>
      <c r="U48" s="132">
        <f>IF(D48="",0,VLOOKUP(D48,'Tournament Details'!$C:$X,22,FALSE))</f>
        <v>0</v>
      </c>
      <c r="V48" s="132">
        <f>IF(D48="",0,VLOOKUP(D48,'Tournament Details'!$C:$Y,23,FALSE))</f>
        <v>0</v>
      </c>
      <c r="W48" s="132">
        <f>IF(D48="",0,VLOOKUP(D48,'Tournament Details'!$C:$Z,24,FALSE))</f>
        <v>0</v>
      </c>
      <c r="X48" s="132">
        <f>IF(D48="",0,VLOOKUP(D48,'Tournament Details'!$C:$AA,25,FALSE))</f>
        <v>0</v>
      </c>
      <c r="Y48" s="40" t="str">
        <f>IF(D48="","",IF(COUNTIF(D:D,D48)&gt;1,"DUPLICATE PLAYER",IF(D47="","NO OPPONENT",IF(D47=U48,"REPEAT MATCHUP",IF(D47=V48,"REPEAT MATCHUP",IF(H48=H47,"SAME TEAM",""))))))</f>
        <v/>
      </c>
      <c r="Z48" s="40"/>
      <c r="AA48" t="str">
        <f>IF(Y48="NO OPPONENT","",IF(Y48&lt;&gt;"",CONCATENATE("Previous Matchup Player #: ",VLOOKUP(D48,'Tournament Details'!$C:$X,22,FALSE)," - ",VLOOKUP(D48,'Tournament Details'!$C:$Y,23,FALSE)),""))</f>
        <v/>
      </c>
    </row>
    <row r="49" spans="1:27" ht="15" customHeight="1" thickBot="1" x14ac:dyDescent="0.35">
      <c r="A49" s="224" t="str">
        <f>IF('Tournament Details'!A1&gt;=1,IF(LARGE('Tournament Details'!C7:C86,1)&gt;=48,24,""),"")</f>
        <v/>
      </c>
      <c r="B49" s="42">
        <f t="shared" si="5"/>
        <v>0</v>
      </c>
      <c r="C49" s="44" t="str">
        <f t="shared" si="4"/>
        <v/>
      </c>
      <c r="D49" s="66" t="str">
        <f>IF('Tournament Details'!A1&gt;=1,IF('Tournament Details'!C53&lt;=LARGE('Round 2'!$C:$C,1),VLOOKUP(SMALL('Round 2'!$C:$C,47),'Round 2'!$C:$D,2,FALSE),""),"")</f>
        <v/>
      </c>
      <c r="E49" s="44" t="str">
        <f>IF(D49="","",B49+VLOOKUP(D49,'Round 2'!$D:$E,2,FALSE))</f>
        <v/>
      </c>
      <c r="F49" s="44" t="str">
        <f>IF(D49="","",(LARGE('Tournament Details'!$C:$C,1)+1-D49)+E49)</f>
        <v/>
      </c>
      <c r="G49" s="23" t="str">
        <f>D50</f>
        <v/>
      </c>
      <c r="H49" s="25" t="str">
        <f>IF(D49="","",IF(VLOOKUP(D49,'Tournament Details'!$C:$G,5,FALSE)="",D49,VLOOKUP(D49,'Tournament Details'!$C:$G,5,FALSE)))</f>
        <v/>
      </c>
      <c r="I49" s="7" t="str">
        <f>IF(D49=0,"",IF(VLOOKUP(D49,'Tournament Details'!$C:$E,3,FALSE)&gt;0,VLOOKUP(D49,'Tournament Details'!$C:$E,3,FALSE),""))</f>
        <v/>
      </c>
      <c r="J49" s="125"/>
      <c r="K49" s="125"/>
      <c r="L49" s="23"/>
      <c r="M49" s="23"/>
      <c r="N49" s="23"/>
      <c r="O49" s="23"/>
      <c r="P49" s="188">
        <v>0</v>
      </c>
      <c r="Q49" s="183">
        <f t="shared" si="6"/>
        <v>0</v>
      </c>
      <c r="R49" s="135" t="str">
        <f t="shared" si="7"/>
        <v/>
      </c>
      <c r="S49" s="135" t="str">
        <f>IF(Q49="","",IF(Q49+Q50&lt;&gt;20,IF(Q49+Q50&lt;&gt;0,"!",""),""))</f>
        <v/>
      </c>
      <c r="T49" s="21" t="str">
        <f t="shared" si="8"/>
        <v/>
      </c>
      <c r="U49" s="132">
        <f>IF(D49="",0,VLOOKUP(D49,'Tournament Details'!$C:$X,22,FALSE))</f>
        <v>0</v>
      </c>
      <c r="V49" s="132">
        <f>IF(D49="",0,VLOOKUP(D49,'Tournament Details'!$C:$Y,23,FALSE))</f>
        <v>0</v>
      </c>
      <c r="W49" s="132">
        <f>IF(D49="",0,VLOOKUP(D49,'Tournament Details'!$C:$Z,24,FALSE))</f>
        <v>0</v>
      </c>
      <c r="X49" s="132">
        <f>IF(D49="",0,VLOOKUP(D49,'Tournament Details'!$C:$AA,25,FALSE))</f>
        <v>0</v>
      </c>
      <c r="Y49" s="40" t="str">
        <f>IF(D49="","",IF(COUNTIF(D:D,D49)&gt;1,"DUPLICATE PLAYER",IF(D50="","NO OPPONENT",IF(D50=U49,"REPEAT MATCHUP",IF(D50=V49,"REPEAT MATCHUP",IF(H49=H50,"SAME TEAM",""))))))</f>
        <v/>
      </c>
      <c r="Z49" s="40"/>
      <c r="AA49" t="str">
        <f>IF(Y49="NO OPPONENT","",IF(Y49&lt;&gt;"",CONCATENATE("Previous Matchup Player #: ",VLOOKUP(D49,'Tournament Details'!$C:$X,22,FALSE)," - ",VLOOKUP(D49,'Tournament Details'!$C:$Y,23,FALSE)),""))</f>
        <v/>
      </c>
    </row>
    <row r="50" spans="1:27" ht="15" customHeight="1" thickBot="1" x14ac:dyDescent="0.35">
      <c r="A50" s="224"/>
      <c r="B50" s="43">
        <f t="shared" si="5"/>
        <v>0</v>
      </c>
      <c r="C50" s="44" t="str">
        <f t="shared" si="4"/>
        <v/>
      </c>
      <c r="D50" s="74" t="str">
        <f>IF('Tournament Details'!A1&gt;=1,IF('Tournament Details'!C54&lt;=LARGE('Round 2'!$C:$C,1),VLOOKUP(SMALL('Round 2'!$C:$C,48),'Round 2'!$C:$D,2,FALSE),""),"")</f>
        <v/>
      </c>
      <c r="E50" s="44" t="str">
        <f>IF(D50="","",B50+VLOOKUP(D50,'Round 2'!$D:$E,2,FALSE))</f>
        <v/>
      </c>
      <c r="F50" s="44" t="str">
        <f>IF(D50="","",(LARGE('Tournament Details'!$C:$C,1)+1-D50)+E50)</f>
        <v/>
      </c>
      <c r="G50" s="24" t="str">
        <f>D49</f>
        <v/>
      </c>
      <c r="H50" s="26" t="str">
        <f>IF(D50="","",IF(VLOOKUP(D50,'Tournament Details'!$C:$G,5,FALSE)="",D50,VLOOKUP(D50,'Tournament Details'!$C:$G,5,FALSE)))</f>
        <v/>
      </c>
      <c r="I50" s="12" t="str">
        <f>IF(D50=0,"",IF(VLOOKUP(D50,'Tournament Details'!$C:$E,3,FALSE)&gt;0,VLOOKUP(D50,'Tournament Details'!$C:$E,3,FALSE),""))</f>
        <v/>
      </c>
      <c r="J50" s="126"/>
      <c r="K50" s="126"/>
      <c r="L50" s="23"/>
      <c r="M50" s="24"/>
      <c r="N50" s="24"/>
      <c r="O50" s="24"/>
      <c r="P50" s="189">
        <v>0</v>
      </c>
      <c r="Q50" s="183">
        <f t="shared" si="6"/>
        <v>0</v>
      </c>
      <c r="R50" s="135" t="str">
        <f t="shared" si="7"/>
        <v/>
      </c>
      <c r="S50" s="135" t="str">
        <f>IF(Q50="","",IF(Q49+Q50&lt;&gt;20,IF(Q49+Q50&lt;&gt;0,"!",""),""))</f>
        <v/>
      </c>
      <c r="T50" s="21" t="str">
        <f t="shared" si="8"/>
        <v/>
      </c>
      <c r="U50" s="132">
        <f>IF(D50="",0,VLOOKUP(D50,'Tournament Details'!$C:$X,22,FALSE))</f>
        <v>0</v>
      </c>
      <c r="V50" s="132">
        <f>IF(D50="",0,VLOOKUP(D50,'Tournament Details'!$C:$Y,23,FALSE))</f>
        <v>0</v>
      </c>
      <c r="W50" s="132">
        <f>IF(D50="",0,VLOOKUP(D50,'Tournament Details'!$C:$Z,24,FALSE))</f>
        <v>0</v>
      </c>
      <c r="X50" s="132">
        <f>IF(D50="",0,VLOOKUP(D50,'Tournament Details'!$C:$AA,25,FALSE))</f>
        <v>0</v>
      </c>
      <c r="Y50" s="40" t="str">
        <f>IF(D50="","",IF(COUNTIF(D:D,D50)&gt;1,"DUPLICATE PLAYER",IF(D49="","NO OPPONENT",IF(D49=U50,"REPEAT MATCHUP",IF(D49=V50,"REPEAT MATCHUP",IF(H50=H49,"SAME TEAM",""))))))</f>
        <v/>
      </c>
      <c r="Z50" s="40"/>
      <c r="AA50" t="str">
        <f>IF(Y50="NO OPPONENT","",IF(Y50&lt;&gt;"",CONCATENATE("Previous Matchup Player #: ",VLOOKUP(D50,'Tournament Details'!$C:$X,22,FALSE)," - ",VLOOKUP(D50,'Tournament Details'!$C:$Y,23,FALSE)),""))</f>
        <v/>
      </c>
    </row>
    <row r="51" spans="1:27" ht="15" customHeight="1" thickBot="1" x14ac:dyDescent="0.35">
      <c r="A51" s="224" t="str">
        <f>IF('Tournament Details'!A1&gt;=1,IF(LARGE('Tournament Details'!C7:C86,1)&gt;=50,25,""),"")</f>
        <v/>
      </c>
      <c r="B51" s="42">
        <f t="shared" si="5"/>
        <v>0</v>
      </c>
      <c r="C51" s="44" t="str">
        <f t="shared" si="4"/>
        <v/>
      </c>
      <c r="D51" s="66" t="str">
        <f>IF('Tournament Details'!A1&gt;=1,IF('Tournament Details'!C55&lt;=LARGE('Round 2'!$C:$C,1),VLOOKUP(SMALL('Round 2'!$C:$C,49),'Round 2'!$C:$D,2,FALSE),""),"")</f>
        <v/>
      </c>
      <c r="E51" s="44" t="str">
        <f>IF(D51="","",B51+VLOOKUP(D51,'Round 2'!$D:$E,2,FALSE))</f>
        <v/>
      </c>
      <c r="F51" s="44" t="str">
        <f>IF(D51="","",(LARGE('Tournament Details'!$C:$C,1)+1-D51)+E51)</f>
        <v/>
      </c>
      <c r="G51" s="23" t="str">
        <f>D52</f>
        <v/>
      </c>
      <c r="H51" s="25" t="str">
        <f>IF(D51="","",IF(VLOOKUP(D51,'Tournament Details'!$C:$G,5,FALSE)="",D51,VLOOKUP(D51,'Tournament Details'!$C:$G,5,FALSE)))</f>
        <v/>
      </c>
      <c r="I51" s="7" t="str">
        <f>IF(D51=0,"",IF(VLOOKUP(D51,'Tournament Details'!$C:$E,3,FALSE)&gt;0,VLOOKUP(D51,'Tournament Details'!$C:$E,3,FALSE),""))</f>
        <v/>
      </c>
      <c r="J51" s="125"/>
      <c r="K51" s="125"/>
      <c r="L51" s="23"/>
      <c r="M51" s="23"/>
      <c r="N51" s="23"/>
      <c r="O51" s="23"/>
      <c r="P51" s="188">
        <v>0</v>
      </c>
      <c r="Q51" s="183">
        <f t="shared" si="6"/>
        <v>0</v>
      </c>
      <c r="R51" s="135" t="str">
        <f t="shared" si="7"/>
        <v/>
      </c>
      <c r="S51" s="135" t="str">
        <f>IF(Q51="","",IF(Q51+Q52&lt;&gt;20,IF(Q51+Q52&lt;&gt;0,"!",""),""))</f>
        <v/>
      </c>
      <c r="T51" s="21" t="str">
        <f t="shared" si="8"/>
        <v/>
      </c>
      <c r="U51" s="132">
        <f>IF(D51="",0,VLOOKUP(D51,'Tournament Details'!$C:$X,22,FALSE))</f>
        <v>0</v>
      </c>
      <c r="V51" s="132">
        <f>IF(D51="",0,VLOOKUP(D51,'Tournament Details'!$C:$Y,23,FALSE))</f>
        <v>0</v>
      </c>
      <c r="W51" s="132">
        <f>IF(D51="",0,VLOOKUP(D51,'Tournament Details'!$C:$Z,24,FALSE))</f>
        <v>0</v>
      </c>
      <c r="X51" s="132">
        <f>IF(D51="",0,VLOOKUP(D51,'Tournament Details'!$C:$AA,25,FALSE))</f>
        <v>0</v>
      </c>
      <c r="Y51" s="40" t="str">
        <f>IF(D51="","",IF(COUNTIF(D:D,D51)&gt;1,"DUPLICATE PLAYER",IF(D52="","NO OPPONENT",IF(D52=U51,"REPEAT MATCHUP",IF(D52=V51,"REPEAT MATCHUP",IF(H51=H52,"SAME TEAM",""))))))</f>
        <v/>
      </c>
      <c r="Z51" s="40"/>
      <c r="AA51" t="str">
        <f>IF(Y51="NO OPPONENT","",IF(Y51&lt;&gt;"",CONCATENATE("Previous Matchup Player #: ",VLOOKUP(D51,'Tournament Details'!$C:$X,22,FALSE)," - ",VLOOKUP(D51,'Tournament Details'!$C:$Y,23,FALSE)),""))</f>
        <v/>
      </c>
    </row>
    <row r="52" spans="1:27" ht="15" customHeight="1" thickBot="1" x14ac:dyDescent="0.35">
      <c r="A52" s="224"/>
      <c r="B52" s="43">
        <f t="shared" si="5"/>
        <v>0</v>
      </c>
      <c r="C52" s="44" t="str">
        <f t="shared" si="4"/>
        <v/>
      </c>
      <c r="D52" s="74" t="str">
        <f>IF('Tournament Details'!A1&gt;=1,IF('Tournament Details'!C56&lt;=LARGE('Round 2'!$C:$C,1),VLOOKUP(SMALL('Round 2'!$C:$C,50),'Round 2'!$C:$D,2,FALSE),""),"")</f>
        <v/>
      </c>
      <c r="E52" s="44" t="str">
        <f>IF(D52="","",B52+VLOOKUP(D52,'Round 2'!$D:$E,2,FALSE))</f>
        <v/>
      </c>
      <c r="F52" s="44" t="str">
        <f>IF(D52="","",(LARGE('Tournament Details'!$C:$C,1)+1-D52)+E52)</f>
        <v/>
      </c>
      <c r="G52" s="24" t="str">
        <f>D51</f>
        <v/>
      </c>
      <c r="H52" s="26" t="str">
        <f>IF(D52="","",IF(VLOOKUP(D52,'Tournament Details'!$C:$G,5,FALSE)="",D52,VLOOKUP(D52,'Tournament Details'!$C:$G,5,FALSE)))</f>
        <v/>
      </c>
      <c r="I52" s="12" t="str">
        <f>IF(D52=0,"",IF(VLOOKUP(D52,'Tournament Details'!$C:$E,3,FALSE)&gt;0,VLOOKUP(D52,'Tournament Details'!$C:$E,3,FALSE),""))</f>
        <v/>
      </c>
      <c r="J52" s="126"/>
      <c r="K52" s="126"/>
      <c r="L52" s="23"/>
      <c r="M52" s="24"/>
      <c r="N52" s="24"/>
      <c r="O52" s="24"/>
      <c r="P52" s="189">
        <v>0</v>
      </c>
      <c r="Q52" s="183">
        <f t="shared" si="6"/>
        <v>0</v>
      </c>
      <c r="R52" s="135" t="str">
        <f t="shared" si="7"/>
        <v/>
      </c>
      <c r="S52" s="135" t="str">
        <f>IF(Q52="","",IF(Q51+Q52&lt;&gt;20,IF(Q51+Q52&lt;&gt;0,"!",""),""))</f>
        <v/>
      </c>
      <c r="T52" s="21" t="str">
        <f t="shared" si="8"/>
        <v/>
      </c>
      <c r="U52" s="132">
        <f>IF(D52="",0,VLOOKUP(D52,'Tournament Details'!$C:$X,22,FALSE))</f>
        <v>0</v>
      </c>
      <c r="V52" s="132">
        <f>IF(D52="",0,VLOOKUP(D52,'Tournament Details'!$C:$Y,23,FALSE))</f>
        <v>0</v>
      </c>
      <c r="W52" s="132">
        <f>IF(D52="",0,VLOOKUP(D52,'Tournament Details'!$C:$Z,24,FALSE))</f>
        <v>0</v>
      </c>
      <c r="X52" s="132">
        <f>IF(D52="",0,VLOOKUP(D52,'Tournament Details'!$C:$AA,25,FALSE))</f>
        <v>0</v>
      </c>
      <c r="Y52" s="40" t="str">
        <f>IF(D52="","",IF(COUNTIF(D:D,D52)&gt;1,"DUPLICATE PLAYER",IF(D51="","NO OPPONENT",IF(D51=U52,"REPEAT MATCHUP",IF(D51=V52,"REPEAT MATCHUP",IF(H52=H51,"SAME TEAM",""))))))</f>
        <v/>
      </c>
      <c r="Z52" s="40"/>
      <c r="AA52" t="str">
        <f>IF(Y52="NO OPPONENT","",IF(Y52&lt;&gt;"",CONCATENATE("Previous Matchup Player #: ",VLOOKUP(D52,'Tournament Details'!$C:$X,22,FALSE)," - ",VLOOKUP(D52,'Tournament Details'!$C:$Y,23,FALSE)),""))</f>
        <v/>
      </c>
    </row>
    <row r="53" spans="1:27" ht="15" customHeight="1" thickBot="1" x14ac:dyDescent="0.35">
      <c r="A53" s="224" t="str">
        <f>IF('Tournament Details'!A1&gt;=1,IF(LARGE('Tournament Details'!C7:C86,1)&gt;=52,26,""),"")</f>
        <v/>
      </c>
      <c r="B53" s="42">
        <f t="shared" si="5"/>
        <v>0</v>
      </c>
      <c r="C53" s="44" t="str">
        <f t="shared" si="4"/>
        <v/>
      </c>
      <c r="D53" s="66" t="str">
        <f>IF('Tournament Details'!A1&gt;=1,IF('Tournament Details'!C57&lt;=LARGE('Round 2'!$C:$C,1),VLOOKUP(SMALL('Round 2'!$C:$C,51),'Round 2'!$C:$D,2,FALSE),""),"")</f>
        <v/>
      </c>
      <c r="E53" s="44" t="str">
        <f>IF(D53="","",B53+VLOOKUP(D53,'Round 2'!$D:$E,2,FALSE))</f>
        <v/>
      </c>
      <c r="F53" s="44" t="str">
        <f>IF(D53="","",(LARGE('Tournament Details'!$C:$C,1)+1-D53)+E53)</f>
        <v/>
      </c>
      <c r="G53" s="23" t="str">
        <f>D54</f>
        <v/>
      </c>
      <c r="H53" s="25" t="str">
        <f>IF(D53="","",IF(VLOOKUP(D53,'Tournament Details'!$C:$G,5,FALSE)="",D53,VLOOKUP(D53,'Tournament Details'!$C:$G,5,FALSE)))</f>
        <v/>
      </c>
      <c r="I53" s="7" t="str">
        <f>IF(D53=0,"",IF(VLOOKUP(D53,'Tournament Details'!$C:$E,3,FALSE)&gt;0,VLOOKUP(D53,'Tournament Details'!$C:$E,3,FALSE),""))</f>
        <v/>
      </c>
      <c r="J53" s="125"/>
      <c r="K53" s="125"/>
      <c r="L53" s="23"/>
      <c r="M53" s="23"/>
      <c r="N53" s="23"/>
      <c r="O53" s="23"/>
      <c r="P53" s="188">
        <v>0</v>
      </c>
      <c r="Q53" s="183">
        <f t="shared" si="6"/>
        <v>0</v>
      </c>
      <c r="R53" s="135" t="str">
        <f t="shared" si="7"/>
        <v/>
      </c>
      <c r="S53" s="135" t="str">
        <f>IF(Q53="","",IF(Q53+Q54&lt;&gt;20,IF(Q53+Q54&lt;&gt;0,"!",""),""))</f>
        <v/>
      </c>
      <c r="T53" s="21" t="str">
        <f t="shared" si="8"/>
        <v/>
      </c>
      <c r="U53" s="132">
        <f>IF(D53="",0,VLOOKUP(D53,'Tournament Details'!$C:$X,22,FALSE))</f>
        <v>0</v>
      </c>
      <c r="V53" s="132">
        <f>IF(D53="",0,VLOOKUP(D53,'Tournament Details'!$C:$Y,23,FALSE))</f>
        <v>0</v>
      </c>
      <c r="W53" s="132">
        <f>IF(D53="",0,VLOOKUP(D53,'Tournament Details'!$C:$Z,24,FALSE))</f>
        <v>0</v>
      </c>
      <c r="X53" s="132">
        <f>IF(D53="",0,VLOOKUP(D53,'Tournament Details'!$C:$AA,25,FALSE))</f>
        <v>0</v>
      </c>
      <c r="Y53" s="40" t="str">
        <f>IF(D53="","",IF(COUNTIF(D:D,D53)&gt;1,"DUPLICATE PLAYER",IF(D54="","NO OPPONENT",IF(D54=U53,"REPEAT MATCHUP",IF(D54=V53,"REPEAT MATCHUP",IF(H53=H54,"SAME TEAM",""))))))</f>
        <v/>
      </c>
      <c r="Z53" s="40"/>
      <c r="AA53" t="str">
        <f>IF(Y53="NO OPPONENT","",IF(Y53&lt;&gt;"",CONCATENATE("Previous Matchup Player #: ",VLOOKUP(D53,'Tournament Details'!$C:$X,22,FALSE)," - ",VLOOKUP(D53,'Tournament Details'!$C:$Y,23,FALSE)),""))</f>
        <v/>
      </c>
    </row>
    <row r="54" spans="1:27" ht="15" customHeight="1" thickBot="1" x14ac:dyDescent="0.35">
      <c r="A54" s="224"/>
      <c r="B54" s="43">
        <f t="shared" si="5"/>
        <v>0</v>
      </c>
      <c r="C54" s="44" t="str">
        <f t="shared" si="4"/>
        <v/>
      </c>
      <c r="D54" s="74" t="str">
        <f>IF('Tournament Details'!A1&gt;=1,IF('Tournament Details'!C58&lt;=LARGE('Round 2'!$C:$C,1),VLOOKUP(SMALL('Round 2'!$C:$C,52),'Round 2'!$C:$D,2,FALSE),""),"")</f>
        <v/>
      </c>
      <c r="E54" s="44" t="str">
        <f>IF(D54="","",B54+VLOOKUP(D54,'Round 2'!$D:$E,2,FALSE))</f>
        <v/>
      </c>
      <c r="F54" s="44" t="str">
        <f>IF(D54="","",(LARGE('Tournament Details'!$C:$C,1)+1-D54)+E54)</f>
        <v/>
      </c>
      <c r="G54" s="24" t="str">
        <f>D53</f>
        <v/>
      </c>
      <c r="H54" s="26" t="str">
        <f>IF(D54="","",IF(VLOOKUP(D54,'Tournament Details'!$C:$G,5,FALSE)="",D54,VLOOKUP(D54,'Tournament Details'!$C:$G,5,FALSE)))</f>
        <v/>
      </c>
      <c r="I54" s="12" t="str">
        <f>IF(D54=0,"",IF(VLOOKUP(D54,'Tournament Details'!$C:$E,3,FALSE)&gt;0,VLOOKUP(D54,'Tournament Details'!$C:$E,3,FALSE),""))</f>
        <v/>
      </c>
      <c r="J54" s="126"/>
      <c r="K54" s="126"/>
      <c r="L54" s="23"/>
      <c r="M54" s="24"/>
      <c r="N54" s="24"/>
      <c r="O54" s="24"/>
      <c r="P54" s="189">
        <v>0</v>
      </c>
      <c r="Q54" s="183">
        <f t="shared" si="6"/>
        <v>0</v>
      </c>
      <c r="R54" s="135" t="str">
        <f t="shared" si="7"/>
        <v/>
      </c>
      <c r="S54" s="135" t="str">
        <f>IF(Q54="","",IF(Q53+Q54&lt;&gt;20,IF(Q53+Q54&lt;&gt;0,"!",""),""))</f>
        <v/>
      </c>
      <c r="T54" s="21" t="str">
        <f t="shared" si="8"/>
        <v/>
      </c>
      <c r="U54" s="132">
        <f>IF(D54="",0,VLOOKUP(D54,'Tournament Details'!$C:$X,22,FALSE))</f>
        <v>0</v>
      </c>
      <c r="V54" s="132">
        <f>IF(D54="",0,VLOOKUP(D54,'Tournament Details'!$C:$Y,23,FALSE))</f>
        <v>0</v>
      </c>
      <c r="W54" s="132">
        <f>IF(D54="",0,VLOOKUP(D54,'Tournament Details'!$C:$Z,24,FALSE))</f>
        <v>0</v>
      </c>
      <c r="X54" s="132">
        <f>IF(D54="",0,VLOOKUP(D54,'Tournament Details'!$C:$AA,25,FALSE))</f>
        <v>0</v>
      </c>
      <c r="Y54" s="40" t="str">
        <f>IF(D54="","",IF(COUNTIF(D:D,D54)&gt;1,"DUPLICATE PLAYER",IF(D53="","NO OPPONENT",IF(D53=U54,"REPEAT MATCHUP",IF(D53=V54,"REPEAT MATCHUP",IF(H54=H53,"SAME TEAM",""))))))</f>
        <v/>
      </c>
      <c r="Z54" s="40"/>
      <c r="AA54" t="str">
        <f>IF(Y54="NO OPPONENT","",IF(Y54&lt;&gt;"",CONCATENATE("Previous Matchup Player #: ",VLOOKUP(D54,'Tournament Details'!$C:$X,22,FALSE)," - ",VLOOKUP(D54,'Tournament Details'!$C:$Y,23,FALSE)),""))</f>
        <v/>
      </c>
    </row>
    <row r="55" spans="1:27" ht="15" customHeight="1" thickBot="1" x14ac:dyDescent="0.35">
      <c r="A55" s="224" t="str">
        <f>IF('Tournament Details'!A1&gt;=1,IF(LARGE('Tournament Details'!C7:C86,1)&gt;=54,27,""),"")</f>
        <v/>
      </c>
      <c r="B55" s="42">
        <f t="shared" si="5"/>
        <v>0</v>
      </c>
      <c r="C55" s="44" t="str">
        <f t="shared" si="4"/>
        <v/>
      </c>
      <c r="D55" s="66" t="str">
        <f>IF('Tournament Details'!A1&gt;=1,IF('Tournament Details'!C59&lt;=LARGE('Round 2'!$C:$C,1),VLOOKUP(SMALL('Round 2'!$C:$C,53),'Round 2'!$C:$D,2,FALSE),""),"")</f>
        <v/>
      </c>
      <c r="E55" s="44" t="str">
        <f>IF(D55="","",B55+VLOOKUP(D55,'Round 2'!$D:$E,2,FALSE))</f>
        <v/>
      </c>
      <c r="F55" s="44" t="str">
        <f>IF(D55="","",(LARGE('Tournament Details'!$C:$C,1)+1-D55)+E55)</f>
        <v/>
      </c>
      <c r="G55" s="23" t="str">
        <f>D56</f>
        <v/>
      </c>
      <c r="H55" s="25" t="str">
        <f>IF(D55="","",IF(VLOOKUP(D55,'Tournament Details'!$C:$G,5,FALSE)="",D55,VLOOKUP(D55,'Tournament Details'!$C:$G,5,FALSE)))</f>
        <v/>
      </c>
      <c r="I55" s="7" t="str">
        <f>IF(D55=0,"",IF(VLOOKUP(D55,'Tournament Details'!$C:$E,3,FALSE)&gt;0,VLOOKUP(D55,'Tournament Details'!$C:$E,3,FALSE),""))</f>
        <v/>
      </c>
      <c r="J55" s="125"/>
      <c r="K55" s="125"/>
      <c r="L55" s="23"/>
      <c r="M55" s="23"/>
      <c r="N55" s="23"/>
      <c r="O55" s="23"/>
      <c r="P55" s="188">
        <v>0</v>
      </c>
      <c r="Q55" s="183">
        <f t="shared" si="6"/>
        <v>0</v>
      </c>
      <c r="R55" s="135" t="str">
        <f t="shared" si="7"/>
        <v/>
      </c>
      <c r="S55" s="135" t="str">
        <f>IF(Q55="","",IF(Q55+Q56&lt;&gt;20,IF(Q55+Q56&lt;&gt;0,"!",""),""))</f>
        <v/>
      </c>
      <c r="T55" s="21" t="str">
        <f t="shared" si="8"/>
        <v/>
      </c>
      <c r="U55" s="132">
        <f>IF(D55="",0,VLOOKUP(D55,'Tournament Details'!$C:$X,22,FALSE))</f>
        <v>0</v>
      </c>
      <c r="V55" s="132">
        <f>IF(D55="",0,VLOOKUP(D55,'Tournament Details'!$C:$Y,23,FALSE))</f>
        <v>0</v>
      </c>
      <c r="W55" s="132">
        <f>IF(D55="",0,VLOOKUP(D55,'Tournament Details'!$C:$Z,24,FALSE))</f>
        <v>0</v>
      </c>
      <c r="X55" s="132">
        <f>IF(D55="",0,VLOOKUP(D55,'Tournament Details'!$C:$AA,25,FALSE))</f>
        <v>0</v>
      </c>
      <c r="Y55" s="40" t="str">
        <f>IF(D55="","",IF(COUNTIF(D:D,D55)&gt;1,"DUPLICATE PLAYER",IF(D56="","NO OPPONENT",IF(D56=U55,"REPEAT MATCHUP",IF(D56=V55,"REPEAT MATCHUP",IF(H55=H56,"SAME TEAM",""))))))</f>
        <v/>
      </c>
      <c r="Z55" s="40"/>
      <c r="AA55" t="str">
        <f>IF(Y55="NO OPPONENT","",IF(Y55&lt;&gt;"",CONCATENATE("Previous Matchup Player #: ",VLOOKUP(D55,'Tournament Details'!$C:$X,22,FALSE)," - ",VLOOKUP(D55,'Tournament Details'!$C:$Y,23,FALSE)),""))</f>
        <v/>
      </c>
    </row>
    <row r="56" spans="1:27" ht="15" customHeight="1" thickBot="1" x14ac:dyDescent="0.35">
      <c r="A56" s="224"/>
      <c r="B56" s="43">
        <f t="shared" si="5"/>
        <v>0</v>
      </c>
      <c r="C56" s="44" t="str">
        <f t="shared" si="4"/>
        <v/>
      </c>
      <c r="D56" s="74" t="str">
        <f>IF('Tournament Details'!A1&gt;=1,IF('Tournament Details'!C60&lt;=LARGE('Round 2'!$C:$C,1),VLOOKUP(SMALL('Round 2'!$C:$C,54),'Round 2'!$C:$D,2,FALSE),""),"")</f>
        <v/>
      </c>
      <c r="E56" s="44" t="str">
        <f>IF(D56="","",B56+VLOOKUP(D56,'Round 2'!$D:$E,2,FALSE))</f>
        <v/>
      </c>
      <c r="F56" s="44" t="str">
        <f>IF(D56="","",(LARGE('Tournament Details'!$C:$C,1)+1-D56)+E56)</f>
        <v/>
      </c>
      <c r="G56" s="24" t="str">
        <f>D55</f>
        <v/>
      </c>
      <c r="H56" s="26" t="str">
        <f>IF(D56="","",IF(VLOOKUP(D56,'Tournament Details'!$C:$G,5,FALSE)="",D56,VLOOKUP(D56,'Tournament Details'!$C:$G,5,FALSE)))</f>
        <v/>
      </c>
      <c r="I56" s="12" t="str">
        <f>IF(D56=0,"",IF(VLOOKUP(D56,'Tournament Details'!$C:$E,3,FALSE)&gt;0,VLOOKUP(D56,'Tournament Details'!$C:$E,3,FALSE),""))</f>
        <v/>
      </c>
      <c r="J56" s="126"/>
      <c r="K56" s="126"/>
      <c r="L56" s="23"/>
      <c r="M56" s="24"/>
      <c r="N56" s="24"/>
      <c r="O56" s="24"/>
      <c r="P56" s="189">
        <v>0</v>
      </c>
      <c r="Q56" s="183">
        <f t="shared" si="6"/>
        <v>0</v>
      </c>
      <c r="R56" s="135" t="str">
        <f t="shared" si="7"/>
        <v/>
      </c>
      <c r="S56" s="135" t="str">
        <f>IF(Q56="","",IF(Q55+Q56&lt;&gt;20,IF(Q55+Q56&lt;&gt;0,"!",""),""))</f>
        <v/>
      </c>
      <c r="T56" s="21" t="str">
        <f t="shared" si="8"/>
        <v/>
      </c>
      <c r="U56" s="132">
        <f>IF(D56="",0,VLOOKUP(D56,'Tournament Details'!$C:$X,22,FALSE))</f>
        <v>0</v>
      </c>
      <c r="V56" s="132">
        <f>IF(D56="",0,VLOOKUP(D56,'Tournament Details'!$C:$Y,23,FALSE))</f>
        <v>0</v>
      </c>
      <c r="W56" s="132">
        <f>IF(D56="",0,VLOOKUP(D56,'Tournament Details'!$C:$Z,24,FALSE))</f>
        <v>0</v>
      </c>
      <c r="X56" s="132">
        <f>IF(D56="",0,VLOOKUP(D56,'Tournament Details'!$C:$AA,25,FALSE))</f>
        <v>0</v>
      </c>
      <c r="Y56" s="40" t="str">
        <f>IF(D56="","",IF(COUNTIF(D:D,D56)&gt;1,"DUPLICATE PLAYER",IF(D55="","NO OPPONENT",IF(D55=U56,"REPEAT MATCHUP",IF(D55=V56,"REPEAT MATCHUP",IF(H56=H55,"SAME TEAM",""))))))</f>
        <v/>
      </c>
      <c r="Z56" s="40"/>
      <c r="AA56" t="str">
        <f>IF(Y56="NO OPPONENT","",IF(Y56&lt;&gt;"",CONCATENATE("Previous Matchup Player #: ",VLOOKUP(D56,'Tournament Details'!$C:$X,22,FALSE)," - ",VLOOKUP(D56,'Tournament Details'!$C:$Y,23,FALSE)),""))</f>
        <v/>
      </c>
    </row>
    <row r="57" spans="1:27" ht="15" customHeight="1" thickBot="1" x14ac:dyDescent="0.35">
      <c r="A57" s="224" t="str">
        <f>IF('Tournament Details'!A1&gt;=1,IF(LARGE('Tournament Details'!C7:C86,1)&gt;=56,28,""),"")</f>
        <v/>
      </c>
      <c r="B57" s="42">
        <f t="shared" si="5"/>
        <v>0</v>
      </c>
      <c r="C57" s="44" t="str">
        <f t="shared" si="4"/>
        <v/>
      </c>
      <c r="D57" s="66" t="str">
        <f>IF('Tournament Details'!A1&gt;=1,IF('Tournament Details'!C61&lt;=LARGE('Round 2'!$C:$C,1),VLOOKUP(SMALL('Round 2'!$C:$C,55),'Round 2'!$C:$D,2,FALSE),""),"")</f>
        <v/>
      </c>
      <c r="E57" s="44" t="str">
        <f>IF(D57="","",B57+VLOOKUP(D57,'Round 2'!$D:$E,2,FALSE))</f>
        <v/>
      </c>
      <c r="F57" s="44" t="str">
        <f>IF(D57="","",(LARGE('Tournament Details'!$C:$C,1)+1-D57)+E57)</f>
        <v/>
      </c>
      <c r="G57" s="23" t="str">
        <f>D58</f>
        <v/>
      </c>
      <c r="H57" s="25" t="str">
        <f>IF(D57="","",IF(VLOOKUP(D57,'Tournament Details'!$C:$G,5,FALSE)="",D57,VLOOKUP(D57,'Tournament Details'!$C:$G,5,FALSE)))</f>
        <v/>
      </c>
      <c r="I57" s="7" t="str">
        <f>IF(D57=0,"",IF(VLOOKUP(D57,'Tournament Details'!$C:$E,3,FALSE)&gt;0,VLOOKUP(D57,'Tournament Details'!$C:$E,3,FALSE),""))</f>
        <v/>
      </c>
      <c r="J57" s="125"/>
      <c r="K57" s="125"/>
      <c r="L57" s="23"/>
      <c r="M57" s="23"/>
      <c r="N57" s="23"/>
      <c r="O57" s="23"/>
      <c r="P57" s="188">
        <v>0</v>
      </c>
      <c r="Q57" s="183">
        <f t="shared" si="6"/>
        <v>0</v>
      </c>
      <c r="R57" s="135" t="str">
        <f t="shared" si="7"/>
        <v/>
      </c>
      <c r="S57" s="135" t="str">
        <f>IF(Q57="","",IF(Q57+Q58&lt;&gt;20,IF(Q57+Q58&lt;&gt;0,"!",""),""))</f>
        <v/>
      </c>
      <c r="T57" s="21" t="str">
        <f t="shared" si="8"/>
        <v/>
      </c>
      <c r="U57" s="132">
        <f>IF(D57="",0,VLOOKUP(D57,'Tournament Details'!$C:$X,22,FALSE))</f>
        <v>0</v>
      </c>
      <c r="V57" s="132">
        <f>IF(D57="",0,VLOOKUP(D57,'Tournament Details'!$C:$Y,23,FALSE))</f>
        <v>0</v>
      </c>
      <c r="W57" s="132">
        <f>IF(D57="",0,VLOOKUP(D57,'Tournament Details'!$C:$Z,24,FALSE))</f>
        <v>0</v>
      </c>
      <c r="X57" s="132">
        <f>IF(D57="",0,VLOOKUP(D57,'Tournament Details'!$C:$AA,25,FALSE))</f>
        <v>0</v>
      </c>
      <c r="Y57" s="40" t="str">
        <f>IF(D57="","",IF(COUNTIF(D:D,D57)&gt;1,"DUPLICATE PLAYER",IF(D58="","NO OPPONENT",IF(D58=U57,"REPEAT MATCHUP",IF(D58=V57,"REPEAT MATCHUP",IF(H57=H58,"SAME TEAM",""))))))</f>
        <v/>
      </c>
      <c r="Z57" s="40"/>
      <c r="AA57" t="str">
        <f>IF(Y57="NO OPPONENT","",IF(Y57&lt;&gt;"",CONCATENATE("Previous Matchup Player #: ",VLOOKUP(D57,'Tournament Details'!$C:$X,22,FALSE)," - ",VLOOKUP(D57,'Tournament Details'!$C:$Y,23,FALSE)),""))</f>
        <v/>
      </c>
    </row>
    <row r="58" spans="1:27" ht="15" customHeight="1" thickBot="1" x14ac:dyDescent="0.35">
      <c r="A58" s="224"/>
      <c r="B58" s="43">
        <f t="shared" si="5"/>
        <v>0</v>
      </c>
      <c r="C58" s="44" t="str">
        <f t="shared" si="4"/>
        <v/>
      </c>
      <c r="D58" s="74" t="str">
        <f>IF('Tournament Details'!A1&gt;=1,IF('Tournament Details'!C62&lt;=LARGE('Round 2'!$C:$C,1),VLOOKUP(SMALL('Round 2'!$C:$C,56),'Round 2'!$C:$D,2,FALSE),""),"")</f>
        <v/>
      </c>
      <c r="E58" s="44" t="str">
        <f>IF(D58="","",B58+VLOOKUP(D58,'Round 2'!$D:$E,2,FALSE))</f>
        <v/>
      </c>
      <c r="F58" s="44" t="str">
        <f>IF(D58="","",(LARGE('Tournament Details'!$C:$C,1)+1-D58)+E58)</f>
        <v/>
      </c>
      <c r="G58" s="24" t="str">
        <f>D57</f>
        <v/>
      </c>
      <c r="H58" s="26" t="str">
        <f>IF(D58="","",IF(VLOOKUP(D58,'Tournament Details'!$C:$G,5,FALSE)="",D58,VLOOKUP(D58,'Tournament Details'!$C:$G,5,FALSE)))</f>
        <v/>
      </c>
      <c r="I58" s="12" t="str">
        <f>IF(D58=0,"",IF(VLOOKUP(D58,'Tournament Details'!$C:$E,3,FALSE)&gt;0,VLOOKUP(D58,'Tournament Details'!$C:$E,3,FALSE),""))</f>
        <v/>
      </c>
      <c r="J58" s="126"/>
      <c r="K58" s="126"/>
      <c r="L58" s="23"/>
      <c r="M58" s="24"/>
      <c r="N58" s="24"/>
      <c r="O58" s="24"/>
      <c r="P58" s="189">
        <v>0</v>
      </c>
      <c r="Q58" s="183">
        <f t="shared" si="6"/>
        <v>0</v>
      </c>
      <c r="R58" s="135" t="str">
        <f t="shared" si="7"/>
        <v/>
      </c>
      <c r="S58" s="135" t="str">
        <f>IF(Q58="","",IF(Q57+Q58&lt;&gt;20,IF(Q57+Q58&lt;&gt;0,"!",""),""))</f>
        <v/>
      </c>
      <c r="T58" s="21" t="str">
        <f t="shared" si="8"/>
        <v/>
      </c>
      <c r="U58" s="132">
        <f>IF(D58="",0,VLOOKUP(D58,'Tournament Details'!$C:$X,22,FALSE))</f>
        <v>0</v>
      </c>
      <c r="V58" s="132">
        <f>IF(D58="",0,VLOOKUP(D58,'Tournament Details'!$C:$Y,23,FALSE))</f>
        <v>0</v>
      </c>
      <c r="W58" s="132">
        <f>IF(D58="",0,VLOOKUP(D58,'Tournament Details'!$C:$Z,24,FALSE))</f>
        <v>0</v>
      </c>
      <c r="X58" s="132">
        <f>IF(D58="",0,VLOOKUP(D58,'Tournament Details'!$C:$AA,25,FALSE))</f>
        <v>0</v>
      </c>
      <c r="Y58" s="40" t="str">
        <f>IF(D58="","",IF(COUNTIF(D:D,D58)&gt;1,"DUPLICATE PLAYER",IF(D57="","NO OPPONENT",IF(D57=U58,"REPEAT MATCHUP",IF(D57=V58,"REPEAT MATCHUP",IF(H58=H57,"SAME TEAM",""))))))</f>
        <v/>
      </c>
      <c r="Z58" s="40"/>
      <c r="AA58" t="str">
        <f>IF(Y58="NO OPPONENT","",IF(Y58&lt;&gt;"",CONCATENATE("Previous Matchup Player #: ",VLOOKUP(D58,'Tournament Details'!$C:$X,22,FALSE)," - ",VLOOKUP(D58,'Tournament Details'!$C:$Y,23,FALSE)),""))</f>
        <v/>
      </c>
    </row>
    <row r="59" spans="1:27" ht="15" customHeight="1" thickBot="1" x14ac:dyDescent="0.35">
      <c r="A59" s="224" t="str">
        <f>IF('Tournament Details'!A1&gt;=1,IF(LARGE('Tournament Details'!C7:C86,1)&gt;=58,29,""),"")</f>
        <v/>
      </c>
      <c r="B59" s="42">
        <f t="shared" si="5"/>
        <v>0</v>
      </c>
      <c r="C59" s="44" t="str">
        <f t="shared" si="4"/>
        <v/>
      </c>
      <c r="D59" s="66" t="str">
        <f>IF('Tournament Details'!A1&gt;=1,IF('Tournament Details'!C63&lt;=LARGE('Round 2'!$C:$C,1),VLOOKUP(SMALL('Round 2'!$C:$C,57),'Round 2'!$C:$D,2,FALSE),""),"")</f>
        <v/>
      </c>
      <c r="E59" s="44" t="str">
        <f>IF(D59="","",B59+VLOOKUP(D59,'Round 2'!$D:$E,2,FALSE))</f>
        <v/>
      </c>
      <c r="F59" s="44" t="str">
        <f>IF(D59="","",(LARGE('Tournament Details'!$C:$C,1)+1-D59)+E59)</f>
        <v/>
      </c>
      <c r="G59" s="23" t="str">
        <f>D60</f>
        <v/>
      </c>
      <c r="H59" s="25" t="str">
        <f>IF(D59="","",IF(VLOOKUP(D59,'Tournament Details'!$C:$G,5,FALSE)="",D59,VLOOKUP(D59,'Tournament Details'!$C:$G,5,FALSE)))</f>
        <v/>
      </c>
      <c r="I59" s="7" t="str">
        <f>IF(D59=0,"",IF(VLOOKUP(D59,'Tournament Details'!$C:$E,3,FALSE)&gt;0,VLOOKUP(D59,'Tournament Details'!$C:$E,3,FALSE),""))</f>
        <v/>
      </c>
      <c r="J59" s="125"/>
      <c r="K59" s="125"/>
      <c r="L59" s="23"/>
      <c r="M59" s="23"/>
      <c r="N59" s="23"/>
      <c r="O59" s="23"/>
      <c r="P59" s="188">
        <v>0</v>
      </c>
      <c r="Q59" s="183">
        <f t="shared" si="6"/>
        <v>0</v>
      </c>
      <c r="R59" s="135" t="str">
        <f t="shared" si="7"/>
        <v/>
      </c>
      <c r="S59" s="135" t="str">
        <f>IF(Q59="","",IF(Q59+Q60&lt;&gt;20,IF(Q59+Q60&lt;&gt;0,"!",""),""))</f>
        <v/>
      </c>
      <c r="T59" s="21" t="str">
        <f t="shared" si="8"/>
        <v/>
      </c>
      <c r="U59" s="132">
        <f>IF(D59="",0,VLOOKUP(D59,'Tournament Details'!$C:$X,22,FALSE))</f>
        <v>0</v>
      </c>
      <c r="V59" s="132">
        <f>IF(D59="",0,VLOOKUP(D59,'Tournament Details'!$C:$Y,23,FALSE))</f>
        <v>0</v>
      </c>
      <c r="W59" s="132">
        <f>IF(D59="",0,VLOOKUP(D59,'Tournament Details'!$C:$Z,24,FALSE))</f>
        <v>0</v>
      </c>
      <c r="X59" s="132">
        <f>IF(D59="",0,VLOOKUP(D59,'Tournament Details'!$C:$AA,25,FALSE))</f>
        <v>0</v>
      </c>
      <c r="Y59" s="40" t="str">
        <f>IF(D59="","",IF(COUNTIF(D:D,D59)&gt;1,"DUPLICATE PLAYER",IF(D60="","NO OPPONENT",IF(D60=U59,"REPEAT MATCHUP",IF(D60=V59,"REPEAT MATCHUP",IF(H59=H60,"SAME TEAM",""))))))</f>
        <v/>
      </c>
      <c r="Z59" s="40"/>
      <c r="AA59" t="str">
        <f>IF(Y59="NO OPPONENT","",IF(Y59&lt;&gt;"",CONCATENATE("Previous Matchup Player #: ",VLOOKUP(D59,'Tournament Details'!$C:$X,22,FALSE)," - ",VLOOKUP(D59,'Tournament Details'!$C:$Y,23,FALSE)),""))</f>
        <v/>
      </c>
    </row>
    <row r="60" spans="1:27" ht="15" customHeight="1" thickBot="1" x14ac:dyDescent="0.35">
      <c r="A60" s="224"/>
      <c r="B60" s="43">
        <f t="shared" si="5"/>
        <v>0</v>
      </c>
      <c r="C60" s="44" t="str">
        <f t="shared" si="4"/>
        <v/>
      </c>
      <c r="D60" s="74" t="str">
        <f>IF('Tournament Details'!A1&gt;=1,IF('Tournament Details'!C64&lt;=LARGE('Round 2'!$C:$C,1),VLOOKUP(SMALL('Round 2'!$C:$C,58),'Round 2'!$C:$D,2,FALSE),""),"")</f>
        <v/>
      </c>
      <c r="E60" s="44" t="str">
        <f>IF(D60="","",B60+VLOOKUP(D60,'Round 2'!$D:$E,2,FALSE))</f>
        <v/>
      </c>
      <c r="F60" s="44" t="str">
        <f>IF(D60="","",(LARGE('Tournament Details'!$C:$C,1)+1-D60)+E60)</f>
        <v/>
      </c>
      <c r="G60" s="24" t="str">
        <f>D59</f>
        <v/>
      </c>
      <c r="H60" s="26" t="str">
        <f>IF(D60="","",IF(VLOOKUP(D60,'Tournament Details'!$C:$G,5,FALSE)="",D60,VLOOKUP(D60,'Tournament Details'!$C:$G,5,FALSE)))</f>
        <v/>
      </c>
      <c r="I60" s="12" t="str">
        <f>IF(D60=0,"",IF(VLOOKUP(D60,'Tournament Details'!$C:$E,3,FALSE)&gt;0,VLOOKUP(D60,'Tournament Details'!$C:$E,3,FALSE),""))</f>
        <v/>
      </c>
      <c r="J60" s="126"/>
      <c r="K60" s="126"/>
      <c r="L60" s="23"/>
      <c r="M60" s="24"/>
      <c r="N60" s="24"/>
      <c r="O60" s="24"/>
      <c r="P60" s="189">
        <v>0</v>
      </c>
      <c r="Q60" s="183">
        <f t="shared" si="6"/>
        <v>0</v>
      </c>
      <c r="R60" s="135" t="str">
        <f t="shared" si="7"/>
        <v/>
      </c>
      <c r="S60" s="135" t="str">
        <f>IF(Q60="","",IF(Q59+Q60&lt;&gt;20,IF(Q59+Q60&lt;&gt;0,"!",""),""))</f>
        <v/>
      </c>
      <c r="T60" s="21" t="str">
        <f t="shared" si="8"/>
        <v/>
      </c>
      <c r="U60" s="132">
        <f>IF(D60="",0,VLOOKUP(D60,'Tournament Details'!$C:$X,22,FALSE))</f>
        <v>0</v>
      </c>
      <c r="V60" s="132">
        <f>IF(D60="",0,VLOOKUP(D60,'Tournament Details'!$C:$Y,23,FALSE))</f>
        <v>0</v>
      </c>
      <c r="W60" s="132">
        <f>IF(D60="",0,VLOOKUP(D60,'Tournament Details'!$C:$Z,24,FALSE))</f>
        <v>0</v>
      </c>
      <c r="X60" s="132">
        <f>IF(D60="",0,VLOOKUP(D60,'Tournament Details'!$C:$AA,25,FALSE))</f>
        <v>0</v>
      </c>
      <c r="Y60" s="40" t="str">
        <f>IF(D60="","",IF(COUNTIF(D:D,D60)&gt;1,"DUPLICATE PLAYER",IF(D59="","NO OPPONENT",IF(D59=U60,"REPEAT MATCHUP",IF(D59=V60,"REPEAT MATCHUP",IF(H60=H59,"SAME TEAM",""))))))</f>
        <v/>
      </c>
      <c r="Z60" s="40"/>
      <c r="AA60" t="str">
        <f>IF(Y60="NO OPPONENT","",IF(Y60&lt;&gt;"",CONCATENATE("Previous Matchup Player #: ",VLOOKUP(D60,'Tournament Details'!$C:$X,22,FALSE)," - ",VLOOKUP(D60,'Tournament Details'!$C:$Y,23,FALSE)),""))</f>
        <v/>
      </c>
    </row>
    <row r="61" spans="1:27" ht="15" customHeight="1" thickBot="1" x14ac:dyDescent="0.35">
      <c r="A61" s="224" t="str">
        <f>IF('Tournament Details'!A1&gt;=1,IF(LARGE('Tournament Details'!C7:C86,1)&gt;=60,30,""),"")</f>
        <v/>
      </c>
      <c r="B61" s="42">
        <f t="shared" si="5"/>
        <v>0</v>
      </c>
      <c r="C61" s="44" t="str">
        <f t="shared" si="4"/>
        <v/>
      </c>
      <c r="D61" s="66" t="str">
        <f>IF('Tournament Details'!A1&gt;=1,IF('Tournament Details'!C65&lt;=LARGE('Round 2'!$C:$C,1),VLOOKUP(SMALL('Round 2'!$C:$C,59),'Round 2'!$C:$D,2,FALSE),""),"")</f>
        <v/>
      </c>
      <c r="E61" s="44" t="str">
        <f>IF(D61="","",B61+VLOOKUP(D61,'Round 2'!$D:$E,2,FALSE))</f>
        <v/>
      </c>
      <c r="F61" s="44" t="str">
        <f>IF(D61="","",(LARGE('Tournament Details'!$C:$C,1)+1-D61)+E61)</f>
        <v/>
      </c>
      <c r="G61" s="23" t="str">
        <f>D62</f>
        <v/>
      </c>
      <c r="H61" s="25" t="str">
        <f>IF(D61="","",IF(VLOOKUP(D61,'Tournament Details'!$C:$G,5,FALSE)="",D61,VLOOKUP(D61,'Tournament Details'!$C:$G,5,FALSE)))</f>
        <v/>
      </c>
      <c r="I61" s="7" t="str">
        <f>IF(D61=0,"",IF(VLOOKUP(D61,'Tournament Details'!$C:$E,3,FALSE)&gt;0,VLOOKUP(D61,'Tournament Details'!$C:$E,3,FALSE),""))</f>
        <v/>
      </c>
      <c r="J61" s="125"/>
      <c r="K61" s="125"/>
      <c r="L61" s="23"/>
      <c r="M61" s="23"/>
      <c r="N61" s="23"/>
      <c r="O61" s="23"/>
      <c r="P61" s="188">
        <v>0</v>
      </c>
      <c r="Q61" s="183">
        <f t="shared" si="6"/>
        <v>0</v>
      </c>
      <c r="R61" s="135" t="str">
        <f t="shared" si="7"/>
        <v/>
      </c>
      <c r="S61" s="135" t="str">
        <f>IF(Q61="","",IF(Q61+Q62&lt;&gt;20,IF(Q61+Q62&lt;&gt;0,"!",""),""))</f>
        <v/>
      </c>
      <c r="T61" s="21" t="str">
        <f t="shared" si="8"/>
        <v/>
      </c>
      <c r="U61" s="132">
        <f>IF(D61="",0,VLOOKUP(D61,'Tournament Details'!$C:$X,22,FALSE))</f>
        <v>0</v>
      </c>
      <c r="V61" s="132">
        <f>IF(D61="",0,VLOOKUP(D61,'Tournament Details'!$C:$Y,23,FALSE))</f>
        <v>0</v>
      </c>
      <c r="W61" s="132">
        <f>IF(D61="",0,VLOOKUP(D61,'Tournament Details'!$C:$Z,24,FALSE))</f>
        <v>0</v>
      </c>
      <c r="X61" s="132">
        <f>IF(D61="",0,VLOOKUP(D61,'Tournament Details'!$C:$AA,25,FALSE))</f>
        <v>0</v>
      </c>
      <c r="Y61" s="40" t="str">
        <f>IF(D61="","",IF(COUNTIF(D:D,D61)&gt;1,"DUPLICATE PLAYER",IF(D62="","NO OPPONENT",IF(D62=U61,"REPEAT MATCHUP",IF(D62=V61,"REPEAT MATCHUP",IF(H61=H62,"SAME TEAM",""))))))</f>
        <v/>
      </c>
      <c r="Z61" s="40"/>
      <c r="AA61" t="str">
        <f>IF(Y61="NO OPPONENT","",IF(Y61&lt;&gt;"",CONCATENATE("Previous Matchup Player #: ",VLOOKUP(D61,'Tournament Details'!$C:$X,22,FALSE)," - ",VLOOKUP(D61,'Tournament Details'!$C:$Y,23,FALSE)),""))</f>
        <v/>
      </c>
    </row>
    <row r="62" spans="1:27" ht="15" customHeight="1" thickBot="1" x14ac:dyDescent="0.35">
      <c r="A62" s="224"/>
      <c r="B62" s="43">
        <f t="shared" si="5"/>
        <v>0</v>
      </c>
      <c r="C62" s="44" t="str">
        <f t="shared" si="4"/>
        <v/>
      </c>
      <c r="D62" s="74" t="str">
        <f>IF('Tournament Details'!A1&gt;=1,IF('Tournament Details'!C66&lt;=LARGE('Round 2'!$C:$C,1),VLOOKUP(SMALL('Round 2'!$C:$C,60),'Round 2'!$C:$D,2,FALSE),""),"")</f>
        <v/>
      </c>
      <c r="E62" s="44" t="str">
        <f>IF(D62="","",B62+VLOOKUP(D62,'Round 2'!$D:$E,2,FALSE))</f>
        <v/>
      </c>
      <c r="F62" s="44" t="str">
        <f>IF(D62="","",(LARGE('Tournament Details'!$C:$C,1)+1-D62)+E62)</f>
        <v/>
      </c>
      <c r="G62" s="24" t="str">
        <f>D61</f>
        <v/>
      </c>
      <c r="H62" s="26" t="str">
        <f>IF(D62="","",IF(VLOOKUP(D62,'Tournament Details'!$C:$G,5,FALSE)="",D62,VLOOKUP(D62,'Tournament Details'!$C:$G,5,FALSE)))</f>
        <v/>
      </c>
      <c r="I62" s="12" t="str">
        <f>IF(D62=0,"",IF(VLOOKUP(D62,'Tournament Details'!$C:$E,3,FALSE)&gt;0,VLOOKUP(D62,'Tournament Details'!$C:$E,3,FALSE),""))</f>
        <v/>
      </c>
      <c r="J62" s="126"/>
      <c r="K62" s="126"/>
      <c r="L62" s="23"/>
      <c r="M62" s="24"/>
      <c r="N62" s="24"/>
      <c r="O62" s="24"/>
      <c r="P62" s="189">
        <v>0</v>
      </c>
      <c r="Q62" s="183">
        <f t="shared" si="6"/>
        <v>0</v>
      </c>
      <c r="R62" s="135" t="str">
        <f t="shared" si="7"/>
        <v/>
      </c>
      <c r="S62" s="135" t="str">
        <f>IF(Q62="","",IF(Q61+Q62&lt;&gt;20,IF(Q61+Q62&lt;&gt;0,"!",""),""))</f>
        <v/>
      </c>
      <c r="T62" s="21" t="str">
        <f t="shared" si="8"/>
        <v/>
      </c>
      <c r="U62" s="132">
        <f>IF(D62="",0,VLOOKUP(D62,'Tournament Details'!$C:$X,22,FALSE))</f>
        <v>0</v>
      </c>
      <c r="V62" s="132">
        <f>IF(D62="",0,VLOOKUP(D62,'Tournament Details'!$C:$Y,23,FALSE))</f>
        <v>0</v>
      </c>
      <c r="W62" s="132">
        <f>IF(D62="",0,VLOOKUP(D62,'Tournament Details'!$C:$Z,24,FALSE))</f>
        <v>0</v>
      </c>
      <c r="X62" s="132">
        <f>IF(D62="",0,VLOOKUP(D62,'Tournament Details'!$C:$AA,25,FALSE))</f>
        <v>0</v>
      </c>
      <c r="Y62" s="40" t="str">
        <f>IF(D62="","",IF(COUNTIF(D:D,D62)&gt;1,"DUPLICATE PLAYER",IF(D61="","NO OPPONENT",IF(D61=U62,"REPEAT MATCHUP",IF(D61=V62,"REPEAT MATCHUP",IF(H62=H61,"SAME TEAM",""))))))</f>
        <v/>
      </c>
      <c r="Z62" s="40"/>
      <c r="AA62" t="str">
        <f>IF(Y62="NO OPPONENT","",IF(Y62&lt;&gt;"",CONCATENATE("Previous Matchup Player #: ",VLOOKUP(D62,'Tournament Details'!$C:$X,22,FALSE)," - ",VLOOKUP(D62,'Tournament Details'!$C:$Y,23,FALSE)),""))</f>
        <v/>
      </c>
    </row>
    <row r="63" spans="1:27" ht="15" customHeight="1" thickBot="1" x14ac:dyDescent="0.35">
      <c r="A63" s="224" t="str">
        <f>IF('Tournament Details'!A1&gt;=1,IF(LARGE('Tournament Details'!C7:C86,1)&gt;=62,31,""),"")</f>
        <v/>
      </c>
      <c r="B63" s="42">
        <f t="shared" si="5"/>
        <v>0</v>
      </c>
      <c r="C63" s="44" t="str">
        <f t="shared" si="4"/>
        <v/>
      </c>
      <c r="D63" s="66" t="str">
        <f>IF('Tournament Details'!A1&gt;=1,IF('Tournament Details'!C67&lt;=LARGE('Round 2'!$C:$C,1),VLOOKUP(SMALL('Round 2'!$C:$C,61),'Round 2'!$C:$D,2,FALSE),""),"")</f>
        <v/>
      </c>
      <c r="E63" s="44" t="str">
        <f>IF(D63="","",B63+VLOOKUP(D63,'Round 2'!$D:$E,2,FALSE))</f>
        <v/>
      </c>
      <c r="F63" s="44" t="str">
        <f>IF(D63="","",(LARGE('Tournament Details'!$C:$C,1)+1-D63)+E63)</f>
        <v/>
      </c>
      <c r="G63" s="23" t="str">
        <f>D64</f>
        <v/>
      </c>
      <c r="H63" s="25" t="str">
        <f>IF(D63="","",IF(VLOOKUP(D63,'Tournament Details'!$C:$G,5,FALSE)="",D63,VLOOKUP(D63,'Tournament Details'!$C:$G,5,FALSE)))</f>
        <v/>
      </c>
      <c r="I63" s="7" t="str">
        <f>IF(D63=0,"",IF(VLOOKUP(D63,'Tournament Details'!$C:$E,3,FALSE)&gt;0,VLOOKUP(D63,'Tournament Details'!$C:$E,3,FALSE),""))</f>
        <v/>
      </c>
      <c r="J63" s="125"/>
      <c r="K63" s="125"/>
      <c r="L63" s="23"/>
      <c r="M63" s="23"/>
      <c r="N63" s="23"/>
      <c r="O63" s="23"/>
      <c r="P63" s="188">
        <v>0</v>
      </c>
      <c r="Q63" s="183">
        <f t="shared" si="6"/>
        <v>0</v>
      </c>
      <c r="R63" s="135" t="str">
        <f t="shared" si="7"/>
        <v/>
      </c>
      <c r="S63" s="135" t="str">
        <f>IF(Q63="","",IF(Q63+Q64&lt;&gt;20,IF(Q63+Q64&lt;&gt;0,"!",""),""))</f>
        <v/>
      </c>
      <c r="T63" s="21" t="str">
        <f t="shared" si="8"/>
        <v/>
      </c>
      <c r="U63" s="132">
        <f>IF(D63="",0,VLOOKUP(D63,'Tournament Details'!$C:$X,22,FALSE))</f>
        <v>0</v>
      </c>
      <c r="V63" s="132">
        <f>IF(D63="",0,VLOOKUP(D63,'Tournament Details'!$C:$Y,23,FALSE))</f>
        <v>0</v>
      </c>
      <c r="W63" s="132">
        <f>IF(D63="",0,VLOOKUP(D63,'Tournament Details'!$C:$Z,24,FALSE))</f>
        <v>0</v>
      </c>
      <c r="X63" s="132">
        <f>IF(D63="",0,VLOOKUP(D63,'Tournament Details'!$C:$AA,25,FALSE))</f>
        <v>0</v>
      </c>
      <c r="Y63" s="40" t="str">
        <f>IF(D63="","",IF(COUNTIF(D:D,D63)&gt;1,"DUPLICATE PLAYER",IF(D64="","NO OPPONENT",IF(D64=U63,"REPEAT MATCHUP",IF(D64=V63,"REPEAT MATCHUP",IF(H63=H64,"SAME TEAM",""))))))</f>
        <v/>
      </c>
      <c r="Z63" s="40"/>
      <c r="AA63" t="str">
        <f>IF(Y63="NO OPPONENT","",IF(Y63&lt;&gt;"",CONCATENATE("Previous Matchup Player #: ",VLOOKUP(D63,'Tournament Details'!$C:$X,22,FALSE)," - ",VLOOKUP(D63,'Tournament Details'!$C:$Y,23,FALSE)),""))</f>
        <v/>
      </c>
    </row>
    <row r="64" spans="1:27" ht="15" customHeight="1" thickBot="1" x14ac:dyDescent="0.35">
      <c r="A64" s="224"/>
      <c r="B64" s="43">
        <f t="shared" si="5"/>
        <v>0</v>
      </c>
      <c r="C64" s="44" t="str">
        <f t="shared" si="4"/>
        <v/>
      </c>
      <c r="D64" s="74" t="str">
        <f>IF('Tournament Details'!A1&gt;=1,IF('Tournament Details'!C68&lt;=LARGE('Round 2'!$C:$C,1),VLOOKUP(SMALL('Round 2'!$C:$C,62),'Round 2'!$C:$D,2,FALSE),""),"")</f>
        <v/>
      </c>
      <c r="E64" s="44" t="str">
        <f>IF(D64="","",B64+VLOOKUP(D64,'Round 2'!$D:$E,2,FALSE))</f>
        <v/>
      </c>
      <c r="F64" s="44" t="str">
        <f>IF(D64="","",(LARGE('Tournament Details'!$C:$C,1)+1-D64)+E64)</f>
        <v/>
      </c>
      <c r="G64" s="24" t="str">
        <f>D63</f>
        <v/>
      </c>
      <c r="H64" s="26" t="str">
        <f>IF(D64="","",IF(VLOOKUP(D64,'Tournament Details'!$C:$G,5,FALSE)="",D64,VLOOKUP(D64,'Tournament Details'!$C:$G,5,FALSE)))</f>
        <v/>
      </c>
      <c r="I64" s="12" t="str">
        <f>IF(D64=0,"",IF(VLOOKUP(D64,'Tournament Details'!$C:$E,3,FALSE)&gt;0,VLOOKUP(D64,'Tournament Details'!$C:$E,3,FALSE),""))</f>
        <v/>
      </c>
      <c r="J64" s="126"/>
      <c r="K64" s="126"/>
      <c r="L64" s="23"/>
      <c r="M64" s="24"/>
      <c r="N64" s="24"/>
      <c r="O64" s="24"/>
      <c r="P64" s="189">
        <v>0</v>
      </c>
      <c r="Q64" s="183">
        <f t="shared" si="6"/>
        <v>0</v>
      </c>
      <c r="R64" s="135" t="str">
        <f t="shared" si="7"/>
        <v/>
      </c>
      <c r="S64" s="135" t="str">
        <f>IF(Q64="","",IF(Q63+Q64&lt;&gt;20,IF(Q63+Q64&lt;&gt;0,"!",""),""))</f>
        <v/>
      </c>
      <c r="T64" s="21" t="str">
        <f t="shared" si="8"/>
        <v/>
      </c>
      <c r="U64" s="132">
        <f>IF(D64="",0,VLOOKUP(D64,'Tournament Details'!$C:$X,22,FALSE))</f>
        <v>0</v>
      </c>
      <c r="V64" s="132">
        <f>IF(D64="",0,VLOOKUP(D64,'Tournament Details'!$C:$Y,23,FALSE))</f>
        <v>0</v>
      </c>
      <c r="W64" s="132">
        <f>IF(D64="",0,VLOOKUP(D64,'Tournament Details'!$C:$Z,24,FALSE))</f>
        <v>0</v>
      </c>
      <c r="X64" s="132">
        <f>IF(D64="",0,VLOOKUP(D64,'Tournament Details'!$C:$AA,25,FALSE))</f>
        <v>0</v>
      </c>
      <c r="Y64" s="40" t="str">
        <f>IF(D64="","",IF(COUNTIF(D:D,D64)&gt;1,"DUPLICATE PLAYER",IF(D63="","NO OPPONENT",IF(D63=U64,"REPEAT MATCHUP",IF(D63=V64,"REPEAT MATCHUP",IF(H64=H63,"SAME TEAM",""))))))</f>
        <v/>
      </c>
      <c r="Z64" s="40"/>
      <c r="AA64" t="str">
        <f>IF(Y64="NO OPPONENT","",IF(Y64&lt;&gt;"",CONCATENATE("Previous Matchup Player #: ",VLOOKUP(D64,'Tournament Details'!$C:$X,22,FALSE)," - ",VLOOKUP(D64,'Tournament Details'!$C:$Y,23,FALSE)),""))</f>
        <v/>
      </c>
    </row>
    <row r="65" spans="1:27" ht="15" customHeight="1" thickBot="1" x14ac:dyDescent="0.35">
      <c r="A65" s="224" t="str">
        <f>IF('Tournament Details'!A1&gt;=1,IF(LARGE('Tournament Details'!C7:C86,1)&gt;=64,32,""),"")</f>
        <v/>
      </c>
      <c r="B65" s="42">
        <f t="shared" si="5"/>
        <v>0</v>
      </c>
      <c r="C65" s="44" t="str">
        <f t="shared" si="4"/>
        <v/>
      </c>
      <c r="D65" s="66" t="str">
        <f>IF('Tournament Details'!A1&gt;=1,IF('Tournament Details'!C69&lt;=LARGE('Round 2'!$C:$C,1),VLOOKUP(SMALL('Round 2'!$C:$C,63),'Round 2'!$C:$D,2,FALSE),""),"")</f>
        <v/>
      </c>
      <c r="E65" s="44" t="str">
        <f>IF(D65="","",B65+VLOOKUP(D65,'Round 2'!$D:$E,2,FALSE))</f>
        <v/>
      </c>
      <c r="F65" s="44" t="str">
        <f>IF(D65="","",(LARGE('Tournament Details'!$C:$C,1)+1-D65)+E65)</f>
        <v/>
      </c>
      <c r="G65" s="23" t="str">
        <f>D66</f>
        <v/>
      </c>
      <c r="H65" s="25" t="str">
        <f>IF(D65="","",IF(VLOOKUP(D65,'Tournament Details'!$C:$G,5,FALSE)="",D65,VLOOKUP(D65,'Tournament Details'!$C:$G,5,FALSE)))</f>
        <v/>
      </c>
      <c r="I65" s="7" t="str">
        <f>IF(D65=0,"",IF(VLOOKUP(D65,'Tournament Details'!$C:$E,3,FALSE)&gt;0,VLOOKUP(D65,'Tournament Details'!$C:$E,3,FALSE),""))</f>
        <v/>
      </c>
      <c r="J65" s="125"/>
      <c r="K65" s="125"/>
      <c r="L65" s="23"/>
      <c r="M65" s="23"/>
      <c r="N65" s="23"/>
      <c r="O65" s="23"/>
      <c r="P65" s="188">
        <v>0</v>
      </c>
      <c r="Q65" s="183">
        <f t="shared" si="6"/>
        <v>0</v>
      </c>
      <c r="R65" s="135" t="str">
        <f t="shared" si="7"/>
        <v/>
      </c>
      <c r="S65" s="135" t="str">
        <f>IF(Q65="","",IF(Q65+Q66&lt;&gt;20,IF(Q65+Q66&lt;&gt;0,"!",""),""))</f>
        <v/>
      </c>
      <c r="T65" s="21" t="str">
        <f t="shared" si="8"/>
        <v/>
      </c>
      <c r="U65" s="132">
        <f>IF(D65="",0,VLOOKUP(D65,'Tournament Details'!$C:$X,22,FALSE))</f>
        <v>0</v>
      </c>
      <c r="V65" s="132">
        <f>IF(D65="",0,VLOOKUP(D65,'Tournament Details'!$C:$Y,23,FALSE))</f>
        <v>0</v>
      </c>
      <c r="W65" s="132">
        <f>IF(D65="",0,VLOOKUP(D65,'Tournament Details'!$C:$Z,24,FALSE))</f>
        <v>0</v>
      </c>
      <c r="X65" s="132">
        <f>IF(D65="",0,VLOOKUP(D65,'Tournament Details'!$C:$AA,25,FALSE))</f>
        <v>0</v>
      </c>
      <c r="Y65" s="40" t="str">
        <f>IF(D65="","",IF(COUNTIF(D:D,D65)&gt;1,"DUPLICATE PLAYER",IF(D66="","NO OPPONENT",IF(D66=U65,"REPEAT MATCHUP",IF(D66=V65,"REPEAT MATCHUP",IF(H65=H66,"SAME TEAM",""))))))</f>
        <v/>
      </c>
      <c r="Z65" s="40"/>
      <c r="AA65" t="str">
        <f>IF(Y65="NO OPPONENT","",IF(Y65&lt;&gt;"",CONCATENATE("Previous Matchup Player #: ",VLOOKUP(D65,'Tournament Details'!$C:$X,22,FALSE)," - ",VLOOKUP(D65,'Tournament Details'!$C:$Y,23,FALSE)),""))</f>
        <v/>
      </c>
    </row>
    <row r="66" spans="1:27" ht="15" customHeight="1" thickBot="1" x14ac:dyDescent="0.35">
      <c r="A66" s="224"/>
      <c r="B66" s="43">
        <f t="shared" si="5"/>
        <v>0</v>
      </c>
      <c r="C66" s="44" t="str">
        <f t="shared" si="4"/>
        <v/>
      </c>
      <c r="D66" s="74" t="str">
        <f>IF('Tournament Details'!A1&gt;=1,IF('Tournament Details'!C70&lt;=LARGE('Round 2'!$C:$C,1),VLOOKUP(SMALL('Round 2'!$C:$C,64),'Round 2'!$C:$D,2,FALSE),""),"")</f>
        <v/>
      </c>
      <c r="E66" s="44" t="str">
        <f>IF(D66="","",B66+VLOOKUP(D66,'Round 2'!$D:$E,2,FALSE))</f>
        <v/>
      </c>
      <c r="F66" s="44" t="str">
        <f>IF(D66="","",(LARGE('Tournament Details'!$C:$C,1)+1-D66)+E66)</f>
        <v/>
      </c>
      <c r="G66" s="24" t="str">
        <f>D65</f>
        <v/>
      </c>
      <c r="H66" s="26" t="str">
        <f>IF(D66="","",IF(VLOOKUP(D66,'Tournament Details'!$C:$G,5,FALSE)="",D66,VLOOKUP(D66,'Tournament Details'!$C:$G,5,FALSE)))</f>
        <v/>
      </c>
      <c r="I66" s="12" t="str">
        <f>IF(D66=0,"",IF(VLOOKUP(D66,'Tournament Details'!$C:$E,3,FALSE)&gt;0,VLOOKUP(D66,'Tournament Details'!$C:$E,3,FALSE),""))</f>
        <v/>
      </c>
      <c r="J66" s="126"/>
      <c r="K66" s="126"/>
      <c r="L66" s="23"/>
      <c r="M66" s="24"/>
      <c r="N66" s="24"/>
      <c r="O66" s="24"/>
      <c r="P66" s="189">
        <v>0</v>
      </c>
      <c r="Q66" s="183">
        <f t="shared" si="6"/>
        <v>0</v>
      </c>
      <c r="R66" s="135" t="str">
        <f t="shared" si="7"/>
        <v/>
      </c>
      <c r="S66" s="135" t="str">
        <f>IF(Q66="","",IF(Q65+Q66&lt;&gt;20,IF(Q65+Q66&lt;&gt;0,"!",""),""))</f>
        <v/>
      </c>
      <c r="T66" s="21" t="str">
        <f t="shared" si="8"/>
        <v/>
      </c>
      <c r="U66" s="132">
        <f>IF(D66="",0,VLOOKUP(D66,'Tournament Details'!$C:$X,22,FALSE))</f>
        <v>0</v>
      </c>
      <c r="V66" s="132">
        <f>IF(D66="",0,VLOOKUP(D66,'Tournament Details'!$C:$Y,23,FALSE))</f>
        <v>0</v>
      </c>
      <c r="W66" s="132">
        <f>IF(D66="",0,VLOOKUP(D66,'Tournament Details'!$C:$Z,24,FALSE))</f>
        <v>0</v>
      </c>
      <c r="X66" s="132">
        <f>IF(D66="",0,VLOOKUP(D66,'Tournament Details'!$C:$AA,25,FALSE))</f>
        <v>0</v>
      </c>
      <c r="Y66" s="40" t="str">
        <f>IF(D66="","",IF(COUNTIF(D:D,D66)&gt;1,"DUPLICATE PLAYER",IF(D65="","NO OPPONENT",IF(D65=U66,"REPEAT MATCHUP",IF(D65=V66,"REPEAT MATCHUP",IF(H66=H65,"SAME TEAM",""))))))</f>
        <v/>
      </c>
      <c r="Z66" s="40"/>
      <c r="AA66" t="str">
        <f>IF(Y66="NO OPPONENT","",IF(Y66&lt;&gt;"",CONCATENATE("Previous Matchup Player #: ",VLOOKUP(D66,'Tournament Details'!$C:$X,22,FALSE)," - ",VLOOKUP(D66,'Tournament Details'!$C:$Y,23,FALSE)),""))</f>
        <v/>
      </c>
    </row>
    <row r="67" spans="1:27" ht="15" customHeight="1" thickBot="1" x14ac:dyDescent="0.35">
      <c r="A67" s="224" t="str">
        <f>IF('Tournament Details'!A1&gt;=1,IF(LARGE('Tournament Details'!C7:C86,1)&gt;=66,33,""),"")</f>
        <v/>
      </c>
      <c r="B67" s="42">
        <f t="shared" ref="B67:B82" si="9">IF(Q67="","",(Q67*10000)+K67)</f>
        <v>0</v>
      </c>
      <c r="C67" s="44" t="str">
        <f t="shared" si="4"/>
        <v/>
      </c>
      <c r="D67" s="66" t="str">
        <f>IF('Tournament Details'!A1&gt;=1,IF('Tournament Details'!C71&lt;=LARGE('Round 2'!$C:$C,1),VLOOKUP(SMALL('Round 2'!$C:$C,65),'Round 2'!$C:$D,2,FALSE),""),"")</f>
        <v/>
      </c>
      <c r="E67" s="44" t="str">
        <f>IF(D67="","",B67+VLOOKUP(D67,'Round 2'!$D:$E,2,FALSE))</f>
        <v/>
      </c>
      <c r="F67" s="44" t="str">
        <f>IF(D67="","",(LARGE('Tournament Details'!$C:$C,1)+1-D67)+E67)</f>
        <v/>
      </c>
      <c r="G67" s="23" t="str">
        <f>D68</f>
        <v/>
      </c>
      <c r="H67" s="25" t="str">
        <f>IF(D67="","",IF(VLOOKUP(D67,'Tournament Details'!$C:$G,5,FALSE)="",D67,VLOOKUP(D67,'Tournament Details'!$C:$G,5,FALSE)))</f>
        <v/>
      </c>
      <c r="I67" s="7" t="str">
        <f>IF(D67=0,"",IF(VLOOKUP(D67,'Tournament Details'!$C:$E,3,FALSE)&gt;0,VLOOKUP(D67,'Tournament Details'!$C:$E,3,FALSE),""))</f>
        <v/>
      </c>
      <c r="J67" s="125"/>
      <c r="K67" s="125"/>
      <c r="L67" s="23"/>
      <c r="M67" s="23"/>
      <c r="N67" s="23"/>
      <c r="O67" s="23"/>
      <c r="P67" s="188">
        <v>0</v>
      </c>
      <c r="Q67" s="183">
        <f t="shared" ref="Q67:Q82" si="10">IF(P67="",0,P67)</f>
        <v>0</v>
      </c>
      <c r="R67" s="135" t="str">
        <f t="shared" ref="R67:R82" si="11">IF(J67="","",IF(J67&gt;16,"!",IF(J67&lt;4,"!","")))</f>
        <v/>
      </c>
      <c r="S67" s="135" t="str">
        <f>IF(Q67="","",IF(Q67+Q68&lt;&gt;20,IF(Q67+Q68&lt;&gt;0,"!",""),""))</f>
        <v/>
      </c>
      <c r="T67" s="21" t="str">
        <f t="shared" ref="T67:T82" si="12">IF(R67="!","!",IF(S67="!","!",""))</f>
        <v/>
      </c>
      <c r="U67" s="132">
        <f>IF(D67="",0,VLOOKUP(D67,'Tournament Details'!$C:$X,22,FALSE))</f>
        <v>0</v>
      </c>
      <c r="V67" s="132">
        <f>IF(D67="",0,VLOOKUP(D67,'Tournament Details'!$C:$Y,23,FALSE))</f>
        <v>0</v>
      </c>
      <c r="W67" s="132">
        <f>IF(D67="",0,VLOOKUP(D67,'Tournament Details'!$C:$Z,24,FALSE))</f>
        <v>0</v>
      </c>
      <c r="X67" s="132">
        <f>IF(D67="",0,VLOOKUP(D67,'Tournament Details'!$C:$AA,25,FALSE))</f>
        <v>0</v>
      </c>
      <c r="Y67" s="40" t="str">
        <f>IF(D67="","",IF(COUNTIF(D:D,D67)&gt;1,"DUPLICATE PLAYER",IF(D68="","NO OPPONENT",IF(D68=U67,"REPEAT MATCHUP",IF(D68=V67,"REPEAT MATCHUP",IF(H67=H68,"SAME TEAM",""))))))</f>
        <v/>
      </c>
      <c r="Z67" s="40"/>
      <c r="AA67" t="str">
        <f>IF(Y67="NO OPPONENT","",IF(Y67&lt;&gt;"",CONCATENATE("Previous Matchup Player #: ",VLOOKUP(D67,'Tournament Details'!$C:$X,22,FALSE)," - ",VLOOKUP(D67,'Tournament Details'!$C:$Y,23,FALSE)),""))</f>
        <v/>
      </c>
    </row>
    <row r="68" spans="1:27" ht="15" customHeight="1" thickBot="1" x14ac:dyDescent="0.35">
      <c r="A68" s="224"/>
      <c r="B68" s="43">
        <f t="shared" si="9"/>
        <v>0</v>
      </c>
      <c r="C68" s="44" t="str">
        <f t="shared" ref="C68:C82" si="13">IF(D68="","",IF(COUNTIF(E:E,E68)=1,RANK(E68,E:E),RANK(F68,F:F)))</f>
        <v/>
      </c>
      <c r="D68" s="74" t="str">
        <f>IF('Tournament Details'!A1&gt;=1,IF('Tournament Details'!C72&lt;=LARGE('Round 2'!$C:$C,1),VLOOKUP(SMALL('Round 2'!$C:$C,66),'Round 2'!$C:$D,2,FALSE),""),"")</f>
        <v/>
      </c>
      <c r="E68" s="44" t="str">
        <f>IF(D68="","",B68+VLOOKUP(D68,'Round 2'!$D:$E,2,FALSE))</f>
        <v/>
      </c>
      <c r="F68" s="44" t="str">
        <f>IF(D68="","",(LARGE('Tournament Details'!$C:$C,1)+1-D68)+E68)</f>
        <v/>
      </c>
      <c r="G68" s="24" t="str">
        <f>D67</f>
        <v/>
      </c>
      <c r="H68" s="26" t="str">
        <f>IF(D68="","",IF(VLOOKUP(D68,'Tournament Details'!$C:$G,5,FALSE)="",D68,VLOOKUP(D68,'Tournament Details'!$C:$G,5,FALSE)))</f>
        <v/>
      </c>
      <c r="I68" s="12" t="str">
        <f>IF(D68=0,"",IF(VLOOKUP(D68,'Tournament Details'!$C:$E,3,FALSE)&gt;0,VLOOKUP(D68,'Tournament Details'!$C:$E,3,FALSE),""))</f>
        <v/>
      </c>
      <c r="J68" s="126"/>
      <c r="K68" s="126"/>
      <c r="L68" s="23"/>
      <c r="M68" s="24"/>
      <c r="N68" s="24"/>
      <c r="O68" s="24"/>
      <c r="P68" s="189">
        <v>0</v>
      </c>
      <c r="Q68" s="183">
        <f t="shared" si="10"/>
        <v>0</v>
      </c>
      <c r="R68" s="135" t="str">
        <f t="shared" si="11"/>
        <v/>
      </c>
      <c r="S68" s="135" t="str">
        <f>IF(Q68="","",IF(Q67+Q68&lt;&gt;20,IF(Q67+Q68&lt;&gt;0,"!",""),""))</f>
        <v/>
      </c>
      <c r="T68" s="21" t="str">
        <f t="shared" si="12"/>
        <v/>
      </c>
      <c r="U68" s="132">
        <f>IF(D68="",0,VLOOKUP(D68,'Tournament Details'!$C:$X,22,FALSE))</f>
        <v>0</v>
      </c>
      <c r="V68" s="132">
        <f>IF(D68="",0,VLOOKUP(D68,'Tournament Details'!$C:$Y,23,FALSE))</f>
        <v>0</v>
      </c>
      <c r="W68" s="132">
        <f>IF(D68="",0,VLOOKUP(D68,'Tournament Details'!$C:$Z,24,FALSE))</f>
        <v>0</v>
      </c>
      <c r="X68" s="132">
        <f>IF(D68="",0,VLOOKUP(D68,'Tournament Details'!$C:$AA,25,FALSE))</f>
        <v>0</v>
      </c>
      <c r="Y68" s="40" t="str">
        <f>IF(D68="","",IF(COUNTIF(D:D,D68)&gt;1,"DUPLICATE PLAYER",IF(D67="","NO OPPONENT",IF(D67=U68,"REPEAT MATCHUP",IF(D67=V68,"REPEAT MATCHUP",IF(H68=H67,"SAME TEAM",""))))))</f>
        <v/>
      </c>
      <c r="Z68" s="40"/>
      <c r="AA68" t="str">
        <f>IF(Y68="NO OPPONENT","",IF(Y68&lt;&gt;"",CONCATENATE("Previous Matchup Player #: ",VLOOKUP(D68,'Tournament Details'!$C:$X,22,FALSE)," - ",VLOOKUP(D68,'Tournament Details'!$C:$Y,23,FALSE)),""))</f>
        <v/>
      </c>
    </row>
    <row r="69" spans="1:27" ht="15" customHeight="1" thickBot="1" x14ac:dyDescent="0.35">
      <c r="A69" s="224" t="str">
        <f>IF('Tournament Details'!A1&gt;=1,IF(LARGE('Tournament Details'!C7:C86,1)&gt;=68,34,""),"")</f>
        <v/>
      </c>
      <c r="B69" s="42">
        <f t="shared" si="9"/>
        <v>0</v>
      </c>
      <c r="C69" s="44" t="str">
        <f t="shared" si="13"/>
        <v/>
      </c>
      <c r="D69" s="66" t="str">
        <f>IF('Tournament Details'!A1&gt;=1,IF('Tournament Details'!C73&lt;=LARGE('Round 2'!$C:$C,1),VLOOKUP(SMALL('Round 2'!$C:$C,67),'Round 2'!$C:$D,2,FALSE),""),"")</f>
        <v/>
      </c>
      <c r="E69" s="44" t="str">
        <f>IF(D69="","",B69+VLOOKUP(D69,'Round 2'!$D:$E,2,FALSE))</f>
        <v/>
      </c>
      <c r="F69" s="44" t="str">
        <f>IF(D69="","",(LARGE('Tournament Details'!$C:$C,1)+1-D69)+E69)</f>
        <v/>
      </c>
      <c r="G69" s="23" t="str">
        <f>D70</f>
        <v/>
      </c>
      <c r="H69" s="25" t="str">
        <f>IF(D69="","",IF(VLOOKUP(D69,'Tournament Details'!$C:$G,5,FALSE)="",D69,VLOOKUP(D69,'Tournament Details'!$C:$G,5,FALSE)))</f>
        <v/>
      </c>
      <c r="I69" s="7" t="str">
        <f>IF(D69=0,"",IF(VLOOKUP(D69,'Tournament Details'!$C:$E,3,FALSE)&gt;0,VLOOKUP(D69,'Tournament Details'!$C:$E,3,FALSE),""))</f>
        <v/>
      </c>
      <c r="J69" s="125"/>
      <c r="K69" s="125"/>
      <c r="L69" s="23"/>
      <c r="M69" s="23"/>
      <c r="N69" s="23"/>
      <c r="O69" s="23"/>
      <c r="P69" s="188">
        <v>0</v>
      </c>
      <c r="Q69" s="183">
        <f t="shared" si="10"/>
        <v>0</v>
      </c>
      <c r="R69" s="135" t="str">
        <f t="shared" si="11"/>
        <v/>
      </c>
      <c r="S69" s="135" t="str">
        <f>IF(Q69="","",IF(Q69+Q70&lt;&gt;20,IF(Q69+Q70&lt;&gt;0,"!",""),""))</f>
        <v/>
      </c>
      <c r="T69" s="21" t="str">
        <f t="shared" si="12"/>
        <v/>
      </c>
      <c r="U69" s="132">
        <f>IF(D69="",0,VLOOKUP(D69,'Tournament Details'!$C:$X,22,FALSE))</f>
        <v>0</v>
      </c>
      <c r="V69" s="132">
        <f>IF(D69="",0,VLOOKUP(D69,'Tournament Details'!$C:$Y,23,FALSE))</f>
        <v>0</v>
      </c>
      <c r="W69" s="132">
        <f>IF(D69="",0,VLOOKUP(D69,'Tournament Details'!$C:$Z,24,FALSE))</f>
        <v>0</v>
      </c>
      <c r="X69" s="132">
        <f>IF(D69="",0,VLOOKUP(D69,'Tournament Details'!$C:$AA,25,FALSE))</f>
        <v>0</v>
      </c>
      <c r="Y69" s="40" t="str">
        <f>IF(D69="","",IF(COUNTIF(D:D,D69)&gt;1,"DUPLICATE PLAYER",IF(D70="","NO OPPONENT",IF(D70=U69,"REPEAT MATCHUP",IF(D70=V69,"REPEAT MATCHUP",IF(H69=H70,"SAME TEAM",""))))))</f>
        <v/>
      </c>
      <c r="Z69" s="40"/>
      <c r="AA69" t="str">
        <f>IF(Y69="NO OPPONENT","",IF(Y69&lt;&gt;"",CONCATENATE("Previous Matchup Player #: ",VLOOKUP(D69,'Tournament Details'!$C:$X,22,FALSE)," - ",VLOOKUP(D69,'Tournament Details'!$C:$Y,23,FALSE)),""))</f>
        <v/>
      </c>
    </row>
    <row r="70" spans="1:27" ht="15" customHeight="1" thickBot="1" x14ac:dyDescent="0.35">
      <c r="A70" s="224"/>
      <c r="B70" s="43">
        <f t="shared" si="9"/>
        <v>0</v>
      </c>
      <c r="C70" s="44" t="str">
        <f t="shared" si="13"/>
        <v/>
      </c>
      <c r="D70" s="74" t="str">
        <f>IF('Tournament Details'!A1&gt;=1,IF('Tournament Details'!C74&lt;=LARGE('Round 2'!$C:$C,1),VLOOKUP(SMALL('Round 2'!$C:$C,68),'Round 2'!$C:$D,2,FALSE),""),"")</f>
        <v/>
      </c>
      <c r="E70" s="44" t="str">
        <f>IF(D70="","",B70+VLOOKUP(D70,'Round 2'!$D:$E,2,FALSE))</f>
        <v/>
      </c>
      <c r="F70" s="44" t="str">
        <f>IF(D70="","",(LARGE('Tournament Details'!$C:$C,1)+1-D70)+E70)</f>
        <v/>
      </c>
      <c r="G70" s="24" t="str">
        <f>D69</f>
        <v/>
      </c>
      <c r="H70" s="26" t="str">
        <f>IF(D70="","",IF(VLOOKUP(D70,'Tournament Details'!$C:$G,5,FALSE)="",D70,VLOOKUP(D70,'Tournament Details'!$C:$G,5,FALSE)))</f>
        <v/>
      </c>
      <c r="I70" s="12" t="str">
        <f>IF(D70=0,"",IF(VLOOKUP(D70,'Tournament Details'!$C:$E,3,FALSE)&gt;0,VLOOKUP(D70,'Tournament Details'!$C:$E,3,FALSE),""))</f>
        <v/>
      </c>
      <c r="J70" s="126"/>
      <c r="K70" s="126"/>
      <c r="L70" s="23"/>
      <c r="M70" s="24"/>
      <c r="N70" s="24"/>
      <c r="O70" s="24"/>
      <c r="P70" s="189">
        <v>0</v>
      </c>
      <c r="Q70" s="183">
        <f t="shared" si="10"/>
        <v>0</v>
      </c>
      <c r="R70" s="135" t="str">
        <f t="shared" si="11"/>
        <v/>
      </c>
      <c r="S70" s="135" t="str">
        <f>IF(Q70="","",IF(Q69+Q70&lt;&gt;20,IF(Q69+Q70&lt;&gt;0,"!",""),""))</f>
        <v/>
      </c>
      <c r="T70" s="21" t="str">
        <f t="shared" si="12"/>
        <v/>
      </c>
      <c r="U70" s="132">
        <f>IF(D70="",0,VLOOKUP(D70,'Tournament Details'!$C:$X,22,FALSE))</f>
        <v>0</v>
      </c>
      <c r="V70" s="132">
        <f>IF(D70="",0,VLOOKUP(D70,'Tournament Details'!$C:$Y,23,FALSE))</f>
        <v>0</v>
      </c>
      <c r="W70" s="132">
        <f>IF(D70="",0,VLOOKUP(D70,'Tournament Details'!$C:$Z,24,FALSE))</f>
        <v>0</v>
      </c>
      <c r="X70" s="132">
        <f>IF(D70="",0,VLOOKUP(D70,'Tournament Details'!$C:$AA,25,FALSE))</f>
        <v>0</v>
      </c>
      <c r="Y70" s="40" t="str">
        <f>IF(D70="","",IF(COUNTIF(D:D,D70)&gt;1,"DUPLICATE PLAYER",IF(D69="","NO OPPONENT",IF(D69=U70,"REPEAT MATCHUP",IF(D69=V70,"REPEAT MATCHUP",IF(H70=H69,"SAME TEAM",""))))))</f>
        <v/>
      </c>
      <c r="Z70" s="40"/>
      <c r="AA70" t="str">
        <f>IF(Y70="NO OPPONENT","",IF(Y70&lt;&gt;"",CONCATENATE("Previous Matchup Player #: ",VLOOKUP(D70,'Tournament Details'!$C:$X,22,FALSE)," - ",VLOOKUP(D70,'Tournament Details'!$C:$Y,23,FALSE)),""))</f>
        <v/>
      </c>
    </row>
    <row r="71" spans="1:27" ht="15" customHeight="1" thickBot="1" x14ac:dyDescent="0.35">
      <c r="A71" s="224" t="str">
        <f>IF('Tournament Details'!A1&gt;=1,IF(LARGE('Tournament Details'!C7:C86,1)&gt;=70,35,""),"")</f>
        <v/>
      </c>
      <c r="B71" s="42">
        <f t="shared" si="9"/>
        <v>0</v>
      </c>
      <c r="C71" s="44" t="str">
        <f t="shared" si="13"/>
        <v/>
      </c>
      <c r="D71" s="66" t="str">
        <f>IF('Tournament Details'!A1&gt;=1,IF('Tournament Details'!C75&lt;=LARGE('Round 2'!$C:$C,1),VLOOKUP(SMALL('Round 2'!$C:$C,69),'Round 2'!$C:$D,2,FALSE),""),"")</f>
        <v/>
      </c>
      <c r="E71" s="44" t="str">
        <f>IF(D71="","",B71+VLOOKUP(D71,'Round 2'!$D:$E,2,FALSE))</f>
        <v/>
      </c>
      <c r="F71" s="44" t="str">
        <f>IF(D71="","",(LARGE('Tournament Details'!$C:$C,1)+1-D71)+E71)</f>
        <v/>
      </c>
      <c r="G71" s="23" t="str">
        <f>D72</f>
        <v/>
      </c>
      <c r="H71" s="25" t="str">
        <f>IF(D71="","",IF(VLOOKUP(D71,'Tournament Details'!$C:$G,5,FALSE)="",D71,VLOOKUP(D71,'Tournament Details'!$C:$G,5,FALSE)))</f>
        <v/>
      </c>
      <c r="I71" s="7" t="str">
        <f>IF(D71=0,"",IF(VLOOKUP(D71,'Tournament Details'!$C:$E,3,FALSE)&gt;0,VLOOKUP(D71,'Tournament Details'!$C:$E,3,FALSE),""))</f>
        <v/>
      </c>
      <c r="J71" s="125"/>
      <c r="K71" s="125"/>
      <c r="L71" s="23"/>
      <c r="M71" s="23"/>
      <c r="N71" s="23"/>
      <c r="O71" s="23"/>
      <c r="P71" s="188">
        <v>0</v>
      </c>
      <c r="Q71" s="183">
        <f t="shared" si="10"/>
        <v>0</v>
      </c>
      <c r="R71" s="135" t="str">
        <f t="shared" si="11"/>
        <v/>
      </c>
      <c r="S71" s="135" t="str">
        <f>IF(Q71="","",IF(Q71+Q72&lt;&gt;20,IF(Q71+Q72&lt;&gt;0,"!",""),""))</f>
        <v/>
      </c>
      <c r="T71" s="21" t="str">
        <f t="shared" si="12"/>
        <v/>
      </c>
      <c r="U71" s="132">
        <f>IF(D71="",0,VLOOKUP(D71,'Tournament Details'!$C:$X,22,FALSE))</f>
        <v>0</v>
      </c>
      <c r="V71" s="132">
        <f>IF(D71="",0,VLOOKUP(D71,'Tournament Details'!$C:$Y,23,FALSE))</f>
        <v>0</v>
      </c>
      <c r="W71" s="132">
        <f>IF(D71="",0,VLOOKUP(D71,'Tournament Details'!$C:$Z,24,FALSE))</f>
        <v>0</v>
      </c>
      <c r="X71" s="132">
        <f>IF(D71="",0,VLOOKUP(D71,'Tournament Details'!$C:$AA,25,FALSE))</f>
        <v>0</v>
      </c>
      <c r="Y71" s="40" t="str">
        <f>IF(D71="","",IF(COUNTIF(D:D,D71)&gt;1,"DUPLICATE PLAYER",IF(D72="","NO OPPONENT",IF(D72=U71,"REPEAT MATCHUP",IF(D72=V71,"REPEAT MATCHUP",IF(H71=H72,"SAME TEAM",""))))))</f>
        <v/>
      </c>
      <c r="Z71" s="40"/>
      <c r="AA71" t="str">
        <f>IF(Y71="NO OPPONENT","",IF(Y71&lt;&gt;"",CONCATENATE("Previous Matchup Player #: ",VLOOKUP(D71,'Tournament Details'!$C:$X,22,FALSE)," - ",VLOOKUP(D71,'Tournament Details'!$C:$Y,23,FALSE)),""))</f>
        <v/>
      </c>
    </row>
    <row r="72" spans="1:27" ht="15" customHeight="1" thickBot="1" x14ac:dyDescent="0.35">
      <c r="A72" s="224"/>
      <c r="B72" s="43">
        <f t="shared" si="9"/>
        <v>0</v>
      </c>
      <c r="C72" s="44" t="str">
        <f t="shared" si="13"/>
        <v/>
      </c>
      <c r="D72" s="74" t="str">
        <f>IF('Tournament Details'!A1&gt;=1,IF('Tournament Details'!C76&lt;=LARGE('Round 2'!$C:$C,1),VLOOKUP(SMALL('Round 2'!$C:$C,70),'Round 2'!$C:$D,2,FALSE),""),"")</f>
        <v/>
      </c>
      <c r="E72" s="44" t="str">
        <f>IF(D72="","",B72+VLOOKUP(D72,'Round 2'!$D:$E,2,FALSE))</f>
        <v/>
      </c>
      <c r="F72" s="44" t="str">
        <f>IF(D72="","",(LARGE('Tournament Details'!$C:$C,1)+1-D72)+E72)</f>
        <v/>
      </c>
      <c r="G72" s="24" t="str">
        <f>D71</f>
        <v/>
      </c>
      <c r="H72" s="26" t="str">
        <f>IF(D72="","",IF(VLOOKUP(D72,'Tournament Details'!$C:$G,5,FALSE)="",D72,VLOOKUP(D72,'Tournament Details'!$C:$G,5,FALSE)))</f>
        <v/>
      </c>
      <c r="I72" s="12" t="str">
        <f>IF(D72=0,"",IF(VLOOKUP(D72,'Tournament Details'!$C:$E,3,FALSE)&gt;0,VLOOKUP(D72,'Tournament Details'!$C:$E,3,FALSE),""))</f>
        <v/>
      </c>
      <c r="J72" s="126"/>
      <c r="K72" s="126"/>
      <c r="L72" s="23"/>
      <c r="M72" s="24"/>
      <c r="N72" s="24"/>
      <c r="O72" s="24"/>
      <c r="P72" s="189">
        <v>0</v>
      </c>
      <c r="Q72" s="183">
        <f t="shared" si="10"/>
        <v>0</v>
      </c>
      <c r="R72" s="135" t="str">
        <f t="shared" si="11"/>
        <v/>
      </c>
      <c r="S72" s="135" t="str">
        <f>IF(Q72="","",IF(Q71+Q72&lt;&gt;20,IF(Q71+Q72&lt;&gt;0,"!",""),""))</f>
        <v/>
      </c>
      <c r="T72" s="21" t="str">
        <f t="shared" si="12"/>
        <v/>
      </c>
      <c r="U72" s="132">
        <f>IF(D72="",0,VLOOKUP(D72,'Tournament Details'!$C:$X,22,FALSE))</f>
        <v>0</v>
      </c>
      <c r="V72" s="132">
        <f>IF(D72="",0,VLOOKUP(D72,'Tournament Details'!$C:$Y,23,FALSE))</f>
        <v>0</v>
      </c>
      <c r="W72" s="132">
        <f>IF(D72="",0,VLOOKUP(D72,'Tournament Details'!$C:$Z,24,FALSE))</f>
        <v>0</v>
      </c>
      <c r="X72" s="132">
        <f>IF(D72="",0,VLOOKUP(D72,'Tournament Details'!$C:$AA,25,FALSE))</f>
        <v>0</v>
      </c>
      <c r="Y72" s="40" t="str">
        <f>IF(D72="","",IF(COUNTIF(D:D,D72)&gt;1,"DUPLICATE PLAYER",IF(D71="","NO OPPONENT",IF(D71=U72,"REPEAT MATCHUP",IF(D71=V72,"REPEAT MATCHUP",IF(H72=H71,"SAME TEAM",""))))))</f>
        <v/>
      </c>
      <c r="Z72" s="40"/>
      <c r="AA72" t="str">
        <f>IF(Y72="NO OPPONENT","",IF(Y72&lt;&gt;"",CONCATENATE("Previous Matchup Player #: ",VLOOKUP(D72,'Tournament Details'!$C:$X,22,FALSE)," - ",VLOOKUP(D72,'Tournament Details'!$C:$Y,23,FALSE)),""))</f>
        <v/>
      </c>
    </row>
    <row r="73" spans="1:27" ht="15" customHeight="1" thickBot="1" x14ac:dyDescent="0.35">
      <c r="A73" s="224" t="str">
        <f>IF('Tournament Details'!A1&gt;=1,IF(LARGE('Tournament Details'!C7:C86,1)&gt;=72,36,""),"")</f>
        <v/>
      </c>
      <c r="B73" s="42">
        <f t="shared" si="9"/>
        <v>0</v>
      </c>
      <c r="C73" s="44" t="str">
        <f t="shared" si="13"/>
        <v/>
      </c>
      <c r="D73" s="66" t="str">
        <f>IF('Tournament Details'!A1&gt;=1,IF('Tournament Details'!C77&lt;=LARGE('Round 2'!$C:$C,1),VLOOKUP(SMALL('Round 2'!$C:$C,71),'Round 2'!$C:$D,2,FALSE),""),"")</f>
        <v/>
      </c>
      <c r="E73" s="44" t="str">
        <f>IF(D73="","",B73+VLOOKUP(D73,'Round 2'!$D:$E,2,FALSE))</f>
        <v/>
      </c>
      <c r="F73" s="44" t="str">
        <f>IF(D73="","",(LARGE('Tournament Details'!$C:$C,1)+1-D73)+E73)</f>
        <v/>
      </c>
      <c r="G73" s="23" t="str">
        <f>D74</f>
        <v/>
      </c>
      <c r="H73" s="25" t="str">
        <f>IF(D73="","",IF(VLOOKUP(D73,'Tournament Details'!$C:$G,5,FALSE)="",D73,VLOOKUP(D73,'Tournament Details'!$C:$G,5,FALSE)))</f>
        <v/>
      </c>
      <c r="I73" s="7" t="str">
        <f>IF(D73=0,"",IF(VLOOKUP(D73,'Tournament Details'!$C:$E,3,FALSE)&gt;0,VLOOKUP(D73,'Tournament Details'!$C:$E,3,FALSE),""))</f>
        <v/>
      </c>
      <c r="J73" s="125"/>
      <c r="K73" s="125"/>
      <c r="L73" s="23"/>
      <c r="M73" s="23"/>
      <c r="N73" s="23"/>
      <c r="O73" s="23"/>
      <c r="P73" s="188">
        <v>0</v>
      </c>
      <c r="Q73" s="183">
        <f t="shared" si="10"/>
        <v>0</v>
      </c>
      <c r="R73" s="135" t="str">
        <f t="shared" si="11"/>
        <v/>
      </c>
      <c r="S73" s="135" t="str">
        <f>IF(Q73="","",IF(Q73+Q74&lt;&gt;20,IF(Q73+Q74&lt;&gt;0,"!",""),""))</f>
        <v/>
      </c>
      <c r="T73" s="21" t="str">
        <f t="shared" si="12"/>
        <v/>
      </c>
      <c r="U73" s="132">
        <f>IF(D73="",0,VLOOKUP(D73,'Tournament Details'!$C:$X,22,FALSE))</f>
        <v>0</v>
      </c>
      <c r="V73" s="132">
        <f>IF(D73="",0,VLOOKUP(D73,'Tournament Details'!$C:$Y,23,FALSE))</f>
        <v>0</v>
      </c>
      <c r="W73" s="132">
        <f>IF(D73="",0,VLOOKUP(D73,'Tournament Details'!$C:$Z,24,FALSE))</f>
        <v>0</v>
      </c>
      <c r="X73" s="132">
        <f>IF(D73="",0,VLOOKUP(D73,'Tournament Details'!$C:$AA,25,FALSE))</f>
        <v>0</v>
      </c>
      <c r="Y73" s="40" t="str">
        <f>IF(D73="","",IF(COUNTIF(D:D,D73)&gt;1,"DUPLICATE PLAYER",IF(D74="","NO OPPONENT",IF(D74=U73,"REPEAT MATCHUP",IF(D74=V73,"REPEAT MATCHUP",IF(H73=H74,"SAME TEAM",""))))))</f>
        <v/>
      </c>
      <c r="Z73" s="40"/>
      <c r="AA73" t="str">
        <f>IF(Y73="NO OPPONENT","",IF(Y73&lt;&gt;"",CONCATENATE("Previous Matchup Player #: ",VLOOKUP(D73,'Tournament Details'!$C:$X,22,FALSE)," - ",VLOOKUP(D73,'Tournament Details'!$C:$Y,23,FALSE)),""))</f>
        <v/>
      </c>
    </row>
    <row r="74" spans="1:27" ht="15" customHeight="1" thickBot="1" x14ac:dyDescent="0.35">
      <c r="A74" s="224"/>
      <c r="B74" s="43">
        <f t="shared" si="9"/>
        <v>0</v>
      </c>
      <c r="C74" s="44" t="str">
        <f t="shared" si="13"/>
        <v/>
      </c>
      <c r="D74" s="74" t="str">
        <f>IF('Tournament Details'!A1&gt;=1,IF('Tournament Details'!C78&lt;=LARGE('Round 2'!$C:$C,1),VLOOKUP(SMALL('Round 2'!$C:$C,72),'Round 2'!$C:$D,2,FALSE),""),"")</f>
        <v/>
      </c>
      <c r="E74" s="44" t="str">
        <f>IF(D74="","",B74+VLOOKUP(D74,'Round 2'!$D:$E,2,FALSE))</f>
        <v/>
      </c>
      <c r="F74" s="44" t="str">
        <f>IF(D74="","",(LARGE('Tournament Details'!$C:$C,1)+1-D74)+E74)</f>
        <v/>
      </c>
      <c r="G74" s="24" t="str">
        <f>D73</f>
        <v/>
      </c>
      <c r="H74" s="26" t="str">
        <f>IF(D74="","",IF(VLOOKUP(D74,'Tournament Details'!$C:$G,5,FALSE)="",D74,VLOOKUP(D74,'Tournament Details'!$C:$G,5,FALSE)))</f>
        <v/>
      </c>
      <c r="I74" s="12" t="str">
        <f>IF(D74=0,"",IF(VLOOKUP(D74,'Tournament Details'!$C:$E,3,FALSE)&gt;0,VLOOKUP(D74,'Tournament Details'!$C:$E,3,FALSE),""))</f>
        <v/>
      </c>
      <c r="J74" s="126"/>
      <c r="K74" s="126"/>
      <c r="L74" s="23"/>
      <c r="M74" s="24"/>
      <c r="N74" s="24"/>
      <c r="O74" s="24"/>
      <c r="P74" s="189">
        <v>0</v>
      </c>
      <c r="Q74" s="183">
        <f t="shared" si="10"/>
        <v>0</v>
      </c>
      <c r="R74" s="135" t="str">
        <f t="shared" si="11"/>
        <v/>
      </c>
      <c r="S74" s="135" t="str">
        <f>IF(Q74="","",IF(Q73+Q74&lt;&gt;20,IF(Q73+Q74&lt;&gt;0,"!",""),""))</f>
        <v/>
      </c>
      <c r="T74" s="21" t="str">
        <f t="shared" si="12"/>
        <v/>
      </c>
      <c r="U74" s="132">
        <f>IF(D74="",0,VLOOKUP(D74,'Tournament Details'!$C:$X,22,FALSE))</f>
        <v>0</v>
      </c>
      <c r="V74" s="132">
        <f>IF(D74="",0,VLOOKUP(D74,'Tournament Details'!$C:$Y,23,FALSE))</f>
        <v>0</v>
      </c>
      <c r="W74" s="132">
        <f>IF(D74="",0,VLOOKUP(D74,'Tournament Details'!$C:$Z,24,FALSE))</f>
        <v>0</v>
      </c>
      <c r="X74" s="132">
        <f>IF(D74="",0,VLOOKUP(D74,'Tournament Details'!$C:$AA,25,FALSE))</f>
        <v>0</v>
      </c>
      <c r="Y74" s="40" t="str">
        <f>IF(D74="","",IF(COUNTIF(D:D,D74)&gt;1,"DUPLICATE PLAYER",IF(D73="","NO OPPONENT",IF(D73=U74,"REPEAT MATCHUP",IF(D73=V74,"REPEAT MATCHUP",IF(H74=H73,"SAME TEAM",""))))))</f>
        <v/>
      </c>
      <c r="Z74" s="40"/>
      <c r="AA74" t="str">
        <f>IF(Y74="NO OPPONENT","",IF(Y74&lt;&gt;"",CONCATENATE("Previous Matchup Player #: ",VLOOKUP(D74,'Tournament Details'!$C:$X,22,FALSE)," - ",VLOOKUP(D74,'Tournament Details'!$C:$Y,23,FALSE)),""))</f>
        <v/>
      </c>
    </row>
    <row r="75" spans="1:27" ht="15" customHeight="1" thickBot="1" x14ac:dyDescent="0.35">
      <c r="A75" s="224" t="str">
        <f>IF('Tournament Details'!A1&gt;=1,IF(LARGE('Tournament Details'!C7:C86,1)&gt;=74,37,""),"")</f>
        <v/>
      </c>
      <c r="B75" s="42">
        <f t="shared" si="9"/>
        <v>0</v>
      </c>
      <c r="C75" s="44" t="str">
        <f t="shared" si="13"/>
        <v/>
      </c>
      <c r="D75" s="66" t="str">
        <f>IF('Tournament Details'!A1&gt;=1,IF('Tournament Details'!C79&lt;=LARGE('Round 2'!$C:$C,1),VLOOKUP(SMALL('Round 2'!$C:$C,73),'Round 2'!$C:$D,2,FALSE),""),"")</f>
        <v/>
      </c>
      <c r="E75" s="44" t="str">
        <f>IF(D75="","",B75+VLOOKUP(D75,'Round 2'!$D:$E,2,FALSE))</f>
        <v/>
      </c>
      <c r="F75" s="44" t="str">
        <f>IF(D75="","",(LARGE('Tournament Details'!$C:$C,1)+1-D75)+E75)</f>
        <v/>
      </c>
      <c r="G75" s="23" t="str">
        <f>D76</f>
        <v/>
      </c>
      <c r="H75" s="25" t="str">
        <f>IF(D75="","",IF(VLOOKUP(D75,'Tournament Details'!$C:$G,5,FALSE)="",D75,VLOOKUP(D75,'Tournament Details'!$C:$G,5,FALSE)))</f>
        <v/>
      </c>
      <c r="I75" s="7" t="str">
        <f>IF(D75=0,"",IF(VLOOKUP(D75,'Tournament Details'!$C:$E,3,FALSE)&gt;0,VLOOKUP(D75,'Tournament Details'!$C:$E,3,FALSE),""))</f>
        <v/>
      </c>
      <c r="J75" s="125"/>
      <c r="K75" s="125"/>
      <c r="L75" s="23"/>
      <c r="M75" s="23"/>
      <c r="N75" s="23"/>
      <c r="O75" s="23"/>
      <c r="P75" s="188">
        <v>0</v>
      </c>
      <c r="Q75" s="183">
        <f t="shared" si="10"/>
        <v>0</v>
      </c>
      <c r="R75" s="135" t="str">
        <f t="shared" si="11"/>
        <v/>
      </c>
      <c r="S75" s="135" t="str">
        <f>IF(Q75="","",IF(Q75+Q76&lt;&gt;20,IF(Q75+Q76&lt;&gt;0,"!",""),""))</f>
        <v/>
      </c>
      <c r="T75" s="21" t="str">
        <f t="shared" si="12"/>
        <v/>
      </c>
      <c r="U75" s="132">
        <f>IF(D75="",0,VLOOKUP(D75,'Tournament Details'!$C:$X,22,FALSE))</f>
        <v>0</v>
      </c>
      <c r="V75" s="132">
        <f>IF(D75="",0,VLOOKUP(D75,'Tournament Details'!$C:$Y,23,FALSE))</f>
        <v>0</v>
      </c>
      <c r="W75" s="132">
        <f>IF(D75="",0,VLOOKUP(D75,'Tournament Details'!$C:$Z,24,FALSE))</f>
        <v>0</v>
      </c>
      <c r="X75" s="132">
        <f>IF(D75="",0,VLOOKUP(D75,'Tournament Details'!$C:$AA,25,FALSE))</f>
        <v>0</v>
      </c>
      <c r="Y75" s="40" t="str">
        <f>IF(D75="","",IF(COUNTIF(D:D,D75)&gt;1,"DUPLICATE PLAYER",IF(D76="","NO OPPONENT",IF(D76=U75,"REPEAT MATCHUP",IF(D76=V75,"REPEAT MATCHUP",IF(H75=H76,"SAME TEAM",""))))))</f>
        <v/>
      </c>
      <c r="Z75" s="40"/>
      <c r="AA75" t="str">
        <f>IF(Y75="NO OPPONENT","",IF(Y75&lt;&gt;"",CONCATENATE("Previous Matchup Player #: ",VLOOKUP(D75,'Tournament Details'!$C:$X,22,FALSE)," - ",VLOOKUP(D75,'Tournament Details'!$C:$Y,23,FALSE)),""))</f>
        <v/>
      </c>
    </row>
    <row r="76" spans="1:27" ht="15" customHeight="1" thickBot="1" x14ac:dyDescent="0.35">
      <c r="A76" s="224"/>
      <c r="B76" s="43">
        <f t="shared" si="9"/>
        <v>0</v>
      </c>
      <c r="C76" s="44" t="str">
        <f t="shared" si="13"/>
        <v/>
      </c>
      <c r="D76" s="74" t="str">
        <f>IF('Tournament Details'!A1&gt;=1,IF('Tournament Details'!C80&lt;=LARGE('Round 2'!$C:$C,1),VLOOKUP(SMALL('Round 2'!$C:$C,74),'Round 2'!$C:$D,2,FALSE),""),"")</f>
        <v/>
      </c>
      <c r="E76" s="44" t="str">
        <f>IF(D76="","",B76+VLOOKUP(D76,'Round 2'!$D:$E,2,FALSE))</f>
        <v/>
      </c>
      <c r="F76" s="44" t="str">
        <f>IF(D76="","",(LARGE('Tournament Details'!$C:$C,1)+1-D76)+E76)</f>
        <v/>
      </c>
      <c r="G76" s="24" t="str">
        <f>D75</f>
        <v/>
      </c>
      <c r="H76" s="26" t="str">
        <f>IF(D76="","",IF(VLOOKUP(D76,'Tournament Details'!$C:$G,5,FALSE)="",D76,VLOOKUP(D76,'Tournament Details'!$C:$G,5,FALSE)))</f>
        <v/>
      </c>
      <c r="I76" s="12" t="str">
        <f>IF(D76=0,"",IF(VLOOKUP(D76,'Tournament Details'!$C:$E,3,FALSE)&gt;0,VLOOKUP(D76,'Tournament Details'!$C:$E,3,FALSE),""))</f>
        <v/>
      </c>
      <c r="J76" s="126"/>
      <c r="K76" s="126"/>
      <c r="L76" s="23"/>
      <c r="M76" s="24"/>
      <c r="N76" s="24"/>
      <c r="O76" s="24"/>
      <c r="P76" s="189">
        <v>0</v>
      </c>
      <c r="Q76" s="183">
        <f t="shared" si="10"/>
        <v>0</v>
      </c>
      <c r="R76" s="135" t="str">
        <f t="shared" si="11"/>
        <v/>
      </c>
      <c r="S76" s="135" t="str">
        <f>IF(Q76="","",IF(Q75+Q76&lt;&gt;20,IF(Q75+Q76&lt;&gt;0,"!",""),""))</f>
        <v/>
      </c>
      <c r="T76" s="21" t="str">
        <f t="shared" si="12"/>
        <v/>
      </c>
      <c r="U76" s="132">
        <f>IF(D76="",0,VLOOKUP(D76,'Tournament Details'!$C:$X,22,FALSE))</f>
        <v>0</v>
      </c>
      <c r="V76" s="132">
        <f>IF(D76="",0,VLOOKUP(D76,'Tournament Details'!$C:$Y,23,FALSE))</f>
        <v>0</v>
      </c>
      <c r="W76" s="132">
        <f>IF(D76="",0,VLOOKUP(D76,'Tournament Details'!$C:$Z,24,FALSE))</f>
        <v>0</v>
      </c>
      <c r="X76" s="132">
        <f>IF(D76="",0,VLOOKUP(D76,'Tournament Details'!$C:$AA,25,FALSE))</f>
        <v>0</v>
      </c>
      <c r="Y76" s="40" t="str">
        <f>IF(D76="","",IF(COUNTIF(D:D,D76)&gt;1,"DUPLICATE PLAYER",IF(D75="","NO OPPONENT",IF(D75=U76,"REPEAT MATCHUP",IF(D75=V76,"REPEAT MATCHUP",IF(H76=H75,"SAME TEAM",""))))))</f>
        <v/>
      </c>
      <c r="Z76" s="40"/>
      <c r="AA76" t="str">
        <f>IF(Y76="NO OPPONENT","",IF(Y76&lt;&gt;"",CONCATENATE("Previous Matchup Player #: ",VLOOKUP(D76,'Tournament Details'!$C:$X,22,FALSE)," - ",VLOOKUP(D76,'Tournament Details'!$C:$Y,23,FALSE)),""))</f>
        <v/>
      </c>
    </row>
    <row r="77" spans="1:27" ht="15" customHeight="1" thickBot="1" x14ac:dyDescent="0.35">
      <c r="A77" s="224" t="str">
        <f>IF('Tournament Details'!A1&gt;=1,IF(LARGE('Tournament Details'!C7:C86,1)&gt;=76,38,""),"")</f>
        <v/>
      </c>
      <c r="B77" s="42">
        <f t="shared" si="9"/>
        <v>0</v>
      </c>
      <c r="C77" s="44" t="str">
        <f t="shared" si="13"/>
        <v/>
      </c>
      <c r="D77" s="66" t="str">
        <f>IF('Tournament Details'!A1&gt;=1,IF('Tournament Details'!C81&lt;=LARGE('Round 2'!$C:$C,1),VLOOKUP(SMALL('Round 2'!$C:$C,75),'Round 2'!$C:$D,2,FALSE),""),"")</f>
        <v/>
      </c>
      <c r="E77" s="44" t="str">
        <f>IF(D77="","",B77+VLOOKUP(D77,'Round 2'!$D:$E,2,FALSE))</f>
        <v/>
      </c>
      <c r="F77" s="44" t="str">
        <f>IF(D77="","",(LARGE('Tournament Details'!$C:$C,1)+1-D77)+E77)</f>
        <v/>
      </c>
      <c r="G77" s="23" t="str">
        <f>D78</f>
        <v/>
      </c>
      <c r="H77" s="25" t="str">
        <f>IF(D77="","",IF(VLOOKUP(D77,'Tournament Details'!$C:$G,5,FALSE)="",D77,VLOOKUP(D77,'Tournament Details'!$C:$G,5,FALSE)))</f>
        <v/>
      </c>
      <c r="I77" s="7" t="str">
        <f>IF(D77=0,"",IF(VLOOKUP(D77,'Tournament Details'!$C:$E,3,FALSE)&gt;0,VLOOKUP(D77,'Tournament Details'!$C:$E,3,FALSE),""))</f>
        <v/>
      </c>
      <c r="J77" s="125"/>
      <c r="K77" s="125"/>
      <c r="L77" s="23"/>
      <c r="M77" s="23"/>
      <c r="N77" s="23"/>
      <c r="O77" s="23"/>
      <c r="P77" s="188">
        <v>0</v>
      </c>
      <c r="Q77" s="183">
        <f t="shared" si="10"/>
        <v>0</v>
      </c>
      <c r="R77" s="135" t="str">
        <f t="shared" si="11"/>
        <v/>
      </c>
      <c r="S77" s="135" t="str">
        <f>IF(Q77="","",IF(Q77+Q78&lt;&gt;20,IF(Q77+Q78&lt;&gt;0,"!",""),""))</f>
        <v/>
      </c>
      <c r="T77" s="21" t="str">
        <f t="shared" si="12"/>
        <v/>
      </c>
      <c r="U77" s="132">
        <f>IF(D77="",0,VLOOKUP(D77,'Tournament Details'!$C:$X,22,FALSE))</f>
        <v>0</v>
      </c>
      <c r="V77" s="132">
        <f>IF(D77="",0,VLOOKUP(D77,'Tournament Details'!$C:$Y,23,FALSE))</f>
        <v>0</v>
      </c>
      <c r="W77" s="132">
        <f>IF(D77="",0,VLOOKUP(D77,'Tournament Details'!$C:$Z,24,FALSE))</f>
        <v>0</v>
      </c>
      <c r="X77" s="132">
        <f>IF(D77="",0,VLOOKUP(D77,'Tournament Details'!$C:$AA,25,FALSE))</f>
        <v>0</v>
      </c>
      <c r="Y77" s="40" t="str">
        <f>IF(D77="","",IF(COUNTIF(D:D,D77)&gt;1,"DUPLICATE PLAYER",IF(D78="","NO OPPONENT",IF(D78=U77,"REPEAT MATCHUP",IF(D78=V77,"REPEAT MATCHUP",IF(H77=H78,"SAME TEAM",""))))))</f>
        <v/>
      </c>
      <c r="Z77" s="40"/>
      <c r="AA77" t="str">
        <f>IF(Y77="NO OPPONENT","",IF(Y77&lt;&gt;"",CONCATENATE("Previous Matchup Player #: ",VLOOKUP(D77,'Tournament Details'!$C:$X,22,FALSE)," - ",VLOOKUP(D77,'Tournament Details'!$C:$Y,23,FALSE)),""))</f>
        <v/>
      </c>
    </row>
    <row r="78" spans="1:27" ht="15" customHeight="1" thickBot="1" x14ac:dyDescent="0.35">
      <c r="A78" s="224"/>
      <c r="B78" s="43">
        <f t="shared" si="9"/>
        <v>0</v>
      </c>
      <c r="C78" s="44" t="str">
        <f t="shared" si="13"/>
        <v/>
      </c>
      <c r="D78" s="74" t="str">
        <f>IF('Tournament Details'!A1&gt;=1,IF('Tournament Details'!C82&lt;=LARGE('Round 2'!$C:$C,1),VLOOKUP(SMALL('Round 2'!$C:$C,76),'Round 2'!$C:$D,2,FALSE),""),"")</f>
        <v/>
      </c>
      <c r="E78" s="44" t="str">
        <f>IF(D78="","",B78+VLOOKUP(D78,'Round 2'!$D:$E,2,FALSE))</f>
        <v/>
      </c>
      <c r="F78" s="44" t="str">
        <f>IF(D78="","",(LARGE('Tournament Details'!$C:$C,1)+1-D78)+E78)</f>
        <v/>
      </c>
      <c r="G78" s="24" t="str">
        <f>D77</f>
        <v/>
      </c>
      <c r="H78" s="26" t="str">
        <f>IF(D78="","",IF(VLOOKUP(D78,'Tournament Details'!$C:$G,5,FALSE)="",D78,VLOOKUP(D78,'Tournament Details'!$C:$G,5,FALSE)))</f>
        <v/>
      </c>
      <c r="I78" s="12" t="str">
        <f>IF(D78=0,"",IF(VLOOKUP(D78,'Tournament Details'!$C:$E,3,FALSE)&gt;0,VLOOKUP(D78,'Tournament Details'!$C:$E,3,FALSE),""))</f>
        <v/>
      </c>
      <c r="J78" s="126"/>
      <c r="K78" s="126"/>
      <c r="L78" s="23"/>
      <c r="M78" s="24"/>
      <c r="N78" s="24"/>
      <c r="O78" s="24"/>
      <c r="P78" s="189">
        <v>0</v>
      </c>
      <c r="Q78" s="183">
        <f t="shared" si="10"/>
        <v>0</v>
      </c>
      <c r="R78" s="135" t="str">
        <f t="shared" si="11"/>
        <v/>
      </c>
      <c r="S78" s="135" t="str">
        <f>IF(Q78="","",IF(Q77+Q78&lt;&gt;20,IF(Q77+Q78&lt;&gt;0,"!",""),""))</f>
        <v/>
      </c>
      <c r="T78" s="21" t="str">
        <f t="shared" si="12"/>
        <v/>
      </c>
      <c r="U78" s="132">
        <f>IF(D78="",0,VLOOKUP(D78,'Tournament Details'!$C:$X,22,FALSE))</f>
        <v>0</v>
      </c>
      <c r="V78" s="132">
        <f>IF(D78="",0,VLOOKUP(D78,'Tournament Details'!$C:$Y,23,FALSE))</f>
        <v>0</v>
      </c>
      <c r="W78" s="132">
        <f>IF(D78="",0,VLOOKUP(D78,'Tournament Details'!$C:$Z,24,FALSE))</f>
        <v>0</v>
      </c>
      <c r="X78" s="132">
        <f>IF(D78="",0,VLOOKUP(D78,'Tournament Details'!$C:$AA,25,FALSE))</f>
        <v>0</v>
      </c>
      <c r="Y78" s="40" t="str">
        <f>IF(D78="","",IF(COUNTIF(D:D,D78)&gt;1,"DUPLICATE PLAYER",IF(D77="","NO OPPONENT",IF(D77=U78,"REPEAT MATCHUP",IF(D77=V78,"REPEAT MATCHUP",IF(H78=H77,"SAME TEAM",""))))))</f>
        <v/>
      </c>
      <c r="Z78" s="40"/>
      <c r="AA78" t="str">
        <f>IF(Y78="NO OPPONENT","",IF(Y78&lt;&gt;"",CONCATENATE("Previous Matchup Player #: ",VLOOKUP(D78,'Tournament Details'!$C:$X,22,FALSE)," - ",VLOOKUP(D78,'Tournament Details'!$C:$Y,23,FALSE)),""))</f>
        <v/>
      </c>
    </row>
    <row r="79" spans="1:27" ht="15" customHeight="1" thickBot="1" x14ac:dyDescent="0.35">
      <c r="A79" s="224" t="str">
        <f>IF('Tournament Details'!A1&gt;=1,IF(LARGE('Tournament Details'!C7:C86,1)&gt;=78,39,""),"")</f>
        <v/>
      </c>
      <c r="B79" s="42">
        <f t="shared" si="9"/>
        <v>0</v>
      </c>
      <c r="C79" s="44" t="str">
        <f t="shared" si="13"/>
        <v/>
      </c>
      <c r="D79" s="66" t="str">
        <f>IF('Tournament Details'!A1&gt;=1,IF('Tournament Details'!C83&lt;=LARGE('Round 2'!$C:$C,1),VLOOKUP(SMALL('Round 2'!$C:$C,77),'Round 2'!$C:$D,2,FALSE),""),"")</f>
        <v/>
      </c>
      <c r="E79" s="44" t="str">
        <f>IF(D79="","",B79+VLOOKUP(D79,'Round 2'!$D:$E,2,FALSE))</f>
        <v/>
      </c>
      <c r="F79" s="44" t="str">
        <f>IF(D79="","",(LARGE('Tournament Details'!$C:$C,1)+1-D79)+E79)</f>
        <v/>
      </c>
      <c r="G79" s="23" t="str">
        <f>D80</f>
        <v/>
      </c>
      <c r="H79" s="25" t="str">
        <f>IF(D79="","",IF(VLOOKUP(D79,'Tournament Details'!$C:$G,5,FALSE)="",D79,VLOOKUP(D79,'Tournament Details'!$C:$G,5,FALSE)))</f>
        <v/>
      </c>
      <c r="I79" s="7" t="str">
        <f>IF(D79=0,"",IF(VLOOKUP(D79,'Tournament Details'!$C:$E,3,FALSE)&gt;0,VLOOKUP(D79,'Tournament Details'!$C:$E,3,FALSE),""))</f>
        <v/>
      </c>
      <c r="J79" s="125"/>
      <c r="K79" s="125"/>
      <c r="L79" s="23"/>
      <c r="M79" s="23"/>
      <c r="N79" s="23"/>
      <c r="O79" s="23"/>
      <c r="P79" s="188">
        <v>0</v>
      </c>
      <c r="Q79" s="183">
        <f t="shared" si="10"/>
        <v>0</v>
      </c>
      <c r="R79" s="135" t="str">
        <f t="shared" si="11"/>
        <v/>
      </c>
      <c r="S79" s="135" t="str">
        <f>IF(Q79="","",IF(Q79+Q80&lt;&gt;20,IF(Q79+Q80&lt;&gt;0,"!",""),""))</f>
        <v/>
      </c>
      <c r="T79" s="21" t="str">
        <f t="shared" si="12"/>
        <v/>
      </c>
      <c r="U79" s="132">
        <f>IF(D79="",0,VLOOKUP(D79,'Tournament Details'!$C:$X,22,FALSE))</f>
        <v>0</v>
      </c>
      <c r="V79" s="132">
        <f>IF(D79="",0,VLOOKUP(D79,'Tournament Details'!$C:$Y,23,FALSE))</f>
        <v>0</v>
      </c>
      <c r="W79" s="132">
        <f>IF(D79="",0,VLOOKUP(D79,'Tournament Details'!$C:$Z,24,FALSE))</f>
        <v>0</v>
      </c>
      <c r="X79" s="132">
        <f>IF(D79="",0,VLOOKUP(D79,'Tournament Details'!$C:$AA,25,FALSE))</f>
        <v>0</v>
      </c>
      <c r="Y79" s="40" t="str">
        <f>IF(D79="","",IF(COUNTIF(D:D,D79)&gt;1,"DUPLICATE PLAYER",IF(D80="","NO OPPONENT",IF(D80=U79,"REPEAT MATCHUP",IF(D80=V79,"REPEAT MATCHUP",IF(H79=H80,"SAME TEAM",""))))))</f>
        <v/>
      </c>
      <c r="Z79" s="40"/>
      <c r="AA79" t="str">
        <f>IF(Y79="NO OPPONENT","",IF(Y79&lt;&gt;"",CONCATENATE("Previous Matchup Player #: ",VLOOKUP(D79,'Tournament Details'!$C:$X,22,FALSE)," - ",VLOOKUP(D79,'Tournament Details'!$C:$Y,23,FALSE)),""))</f>
        <v/>
      </c>
    </row>
    <row r="80" spans="1:27" ht="15" customHeight="1" thickBot="1" x14ac:dyDescent="0.35">
      <c r="A80" s="224"/>
      <c r="B80" s="43">
        <f t="shared" si="9"/>
        <v>0</v>
      </c>
      <c r="C80" s="44" t="str">
        <f t="shared" si="13"/>
        <v/>
      </c>
      <c r="D80" s="74" t="str">
        <f>IF('Tournament Details'!A1&gt;=1,IF('Tournament Details'!C84&lt;=LARGE('Round 2'!$C:$C,1),VLOOKUP(SMALL('Round 2'!$C:$C,78),'Round 2'!$C:$D,2,FALSE),""),"")</f>
        <v/>
      </c>
      <c r="E80" s="44" t="str">
        <f>IF(D80="","",B80+VLOOKUP(D80,'Round 2'!$D:$E,2,FALSE))</f>
        <v/>
      </c>
      <c r="F80" s="44" t="str">
        <f>IF(D80="","",(LARGE('Tournament Details'!$C:$C,1)+1-D80)+E80)</f>
        <v/>
      </c>
      <c r="G80" s="24" t="str">
        <f>D79</f>
        <v/>
      </c>
      <c r="H80" s="26" t="str">
        <f>IF(D80="","",IF(VLOOKUP(D80,'Tournament Details'!$C:$G,5,FALSE)="",D80,VLOOKUP(D80,'Tournament Details'!$C:$G,5,FALSE)))</f>
        <v/>
      </c>
      <c r="I80" s="12" t="str">
        <f>IF(D80=0,"",IF(VLOOKUP(D80,'Tournament Details'!$C:$E,3,FALSE)&gt;0,VLOOKUP(D80,'Tournament Details'!$C:$E,3,FALSE),""))</f>
        <v/>
      </c>
      <c r="J80" s="126"/>
      <c r="K80" s="126"/>
      <c r="L80" s="23"/>
      <c r="M80" s="24"/>
      <c r="N80" s="24"/>
      <c r="O80" s="24"/>
      <c r="P80" s="189">
        <v>0</v>
      </c>
      <c r="Q80" s="183">
        <f t="shared" si="10"/>
        <v>0</v>
      </c>
      <c r="R80" s="135" t="str">
        <f t="shared" si="11"/>
        <v/>
      </c>
      <c r="S80" s="135" t="str">
        <f>IF(Q80="","",IF(Q79+Q80&lt;&gt;20,IF(Q79+Q80&lt;&gt;0,"!",""),""))</f>
        <v/>
      </c>
      <c r="T80" s="21" t="str">
        <f t="shared" si="12"/>
        <v/>
      </c>
      <c r="U80" s="132">
        <f>IF(D80="",0,VLOOKUP(D80,'Tournament Details'!$C:$X,22,FALSE))</f>
        <v>0</v>
      </c>
      <c r="V80" s="132">
        <f>IF(D80="",0,VLOOKUP(D80,'Tournament Details'!$C:$Y,23,FALSE))</f>
        <v>0</v>
      </c>
      <c r="W80" s="132">
        <f>IF(D80="",0,VLOOKUP(D80,'Tournament Details'!$C:$Z,24,FALSE))</f>
        <v>0</v>
      </c>
      <c r="X80" s="132">
        <f>IF(D80="",0,VLOOKUP(D80,'Tournament Details'!$C:$AA,25,FALSE))</f>
        <v>0</v>
      </c>
      <c r="Y80" s="40" t="str">
        <f>IF(D80="","",IF(COUNTIF(D:D,D80)&gt;1,"DUPLICATE PLAYER",IF(D79="","NO OPPONENT",IF(D79=U80,"REPEAT MATCHUP",IF(D79=V80,"REPEAT MATCHUP",IF(H80=H79,"SAME TEAM",""))))))</f>
        <v/>
      </c>
      <c r="Z80" s="40"/>
      <c r="AA80" t="str">
        <f>IF(Y80="NO OPPONENT","",IF(Y80&lt;&gt;"",CONCATENATE("Previous Matchup Player #: ",VLOOKUP(D80,'Tournament Details'!$C:$X,22,FALSE)," - ",VLOOKUP(D80,'Tournament Details'!$C:$Y,23,FALSE)),""))</f>
        <v/>
      </c>
    </row>
    <row r="81" spans="1:27" ht="15" customHeight="1" thickBot="1" x14ac:dyDescent="0.35">
      <c r="A81" s="224" t="str">
        <f>IF('Tournament Details'!A1&gt;=1,IF(LARGE('Tournament Details'!C7:C86,1)&gt;=80,40,""),"")</f>
        <v/>
      </c>
      <c r="B81" s="42">
        <f t="shared" si="9"/>
        <v>0</v>
      </c>
      <c r="C81" s="44" t="str">
        <f t="shared" si="13"/>
        <v/>
      </c>
      <c r="D81" s="66" t="str">
        <f>IF('Tournament Details'!A1&gt;=1,IF('Tournament Details'!C85&lt;=LARGE('Round 2'!$C:$C,1),VLOOKUP(SMALL('Round 2'!$C:$C,79),'Round 2'!$C:$D,2,FALSE),""),"")</f>
        <v/>
      </c>
      <c r="E81" s="44" t="str">
        <f>IF(D81="","",B81+VLOOKUP(D81,'Round 2'!$D:$E,2,FALSE))</f>
        <v/>
      </c>
      <c r="F81" s="44" t="str">
        <f>IF(D81="","",(LARGE('Tournament Details'!$C:$C,1)+1-D81)+E81)</f>
        <v/>
      </c>
      <c r="G81" s="23" t="str">
        <f>D82</f>
        <v/>
      </c>
      <c r="H81" s="25" t="str">
        <f>IF(D81="","",IF(VLOOKUP(D81,'Tournament Details'!$C:$G,5,FALSE)="",D81,VLOOKUP(D81,'Tournament Details'!$C:$G,5,FALSE)))</f>
        <v/>
      </c>
      <c r="I81" s="7" t="str">
        <f>IF(D81=0,"",IF(VLOOKUP(D81,'Tournament Details'!$C:$E,3,FALSE)&gt;0,VLOOKUP(D81,'Tournament Details'!$C:$E,3,FALSE),""))</f>
        <v/>
      </c>
      <c r="J81" s="125"/>
      <c r="K81" s="125"/>
      <c r="L81" s="23"/>
      <c r="M81" s="23"/>
      <c r="N81" s="23"/>
      <c r="O81" s="23"/>
      <c r="P81" s="188">
        <v>0</v>
      </c>
      <c r="Q81" s="183">
        <f t="shared" si="10"/>
        <v>0</v>
      </c>
      <c r="R81" s="135" t="str">
        <f t="shared" si="11"/>
        <v/>
      </c>
      <c r="S81" s="135" t="str">
        <f>IF(Q81="","",IF(Q81+Q82&lt;&gt;20,IF(Q81+Q82&lt;&gt;0,"!",""),""))</f>
        <v/>
      </c>
      <c r="T81" s="21" t="str">
        <f t="shared" si="12"/>
        <v/>
      </c>
      <c r="U81" s="132">
        <f>IF(D81="",0,VLOOKUP(D81,'Tournament Details'!$C:$X,22,FALSE))</f>
        <v>0</v>
      </c>
      <c r="V81" s="132">
        <f>IF(D81="",0,VLOOKUP(D81,'Tournament Details'!$C:$Y,23,FALSE))</f>
        <v>0</v>
      </c>
      <c r="W81" s="132">
        <f>IF(D81="",0,VLOOKUP(D81,'Tournament Details'!$C:$Z,24,FALSE))</f>
        <v>0</v>
      </c>
      <c r="X81" s="132">
        <f>IF(D81="",0,VLOOKUP(D81,'Tournament Details'!$C:$AA,25,FALSE))</f>
        <v>0</v>
      </c>
      <c r="Y81" s="40" t="str">
        <f>IF(D81="","",IF(COUNTIF(D:D,D81)&gt;1,"DUPLICATE PLAYER",IF(D82="","NO OPPONENT",IF(D82=U81,"REPEAT MATCHUP",IF(D82=V81,"REPEAT MATCHUP",IF(H81=H82,"SAME TEAM",""))))))</f>
        <v/>
      </c>
      <c r="Z81" s="40"/>
      <c r="AA81" t="str">
        <f>IF(Y81="NO OPPONENT","",IF(Y81&lt;&gt;"",CONCATENATE("Previous Matchup Player #: ",VLOOKUP(D81,'Tournament Details'!$C:$X,22,FALSE)," - ",VLOOKUP(D81,'Tournament Details'!$C:$Y,23,FALSE)),""))</f>
        <v/>
      </c>
    </row>
    <row r="82" spans="1:27" ht="15" customHeight="1" thickBot="1" x14ac:dyDescent="0.35">
      <c r="A82" s="224"/>
      <c r="B82" s="43">
        <f t="shared" si="9"/>
        <v>0</v>
      </c>
      <c r="C82" s="44" t="str">
        <f t="shared" si="13"/>
        <v/>
      </c>
      <c r="D82" s="74" t="str">
        <f>IF('Tournament Details'!A1&gt;=1,IF('Tournament Details'!C86&lt;=LARGE('Round 2'!$C:$C,1),VLOOKUP(SMALL('Round 2'!$C:$C,80),'Round 2'!$C:$D,2,FALSE),""),"")</f>
        <v/>
      </c>
      <c r="E82" s="44" t="str">
        <f>IF(D82="","",B82+VLOOKUP(D82,'Round 2'!$D:$E,2,FALSE))</f>
        <v/>
      </c>
      <c r="F82" s="44" t="str">
        <f>IF(D82="","",(LARGE('Tournament Details'!$C:$C,1)+1-D82)+E82)</f>
        <v/>
      </c>
      <c r="G82" s="24" t="str">
        <f>D81</f>
        <v/>
      </c>
      <c r="H82" s="26" t="str">
        <f>IF(D82="","",IF(VLOOKUP(D82,'Tournament Details'!$C:$G,5,FALSE)="",D82,VLOOKUP(D82,'Tournament Details'!$C:$G,5,FALSE)))</f>
        <v/>
      </c>
      <c r="I82" s="12" t="str">
        <f>IF(D82=0,"",IF(VLOOKUP(D82,'Tournament Details'!$C:$E,3,FALSE)&gt;0,VLOOKUP(D82,'Tournament Details'!$C:$E,3,FALSE),""))</f>
        <v/>
      </c>
      <c r="J82" s="126"/>
      <c r="K82" s="126"/>
      <c r="L82" s="23"/>
      <c r="M82" s="24"/>
      <c r="N82" s="24"/>
      <c r="O82" s="24"/>
      <c r="P82" s="189">
        <v>0</v>
      </c>
      <c r="Q82" s="183">
        <f t="shared" si="10"/>
        <v>0</v>
      </c>
      <c r="R82" s="135" t="str">
        <f t="shared" si="11"/>
        <v/>
      </c>
      <c r="S82" s="135" t="str">
        <f>IF(Q82="","",IF(Q81+Q82&lt;&gt;20,IF(Q81+Q82&lt;&gt;0,"!",""),""))</f>
        <v/>
      </c>
      <c r="T82" s="21" t="str">
        <f t="shared" si="12"/>
        <v/>
      </c>
      <c r="U82" s="132">
        <f>IF(D82="",0,VLOOKUP(D82,'Tournament Details'!$C:$X,22,FALSE))</f>
        <v>0</v>
      </c>
      <c r="V82" s="132">
        <f>IF(D82="",0,VLOOKUP(D82,'Tournament Details'!$C:$Y,23,FALSE))</f>
        <v>0</v>
      </c>
      <c r="W82" s="132">
        <f>IF(D82="",0,VLOOKUP(D82,'Tournament Details'!$C:$Z,24,FALSE))</f>
        <v>0</v>
      </c>
      <c r="X82" s="132">
        <f>IF(D82="",0,VLOOKUP(D82,'Tournament Details'!$C:$AA,25,FALSE))</f>
        <v>0</v>
      </c>
      <c r="Y82" s="40" t="str">
        <f>IF(D82="","",IF(COUNTIF(D:D,D82)&gt;1,"DUPLICATE PLAYER",IF(D81="","NO OPPONENT",IF(D81=U82,"REPEAT MATCHUP",IF(D81=V82,"REPEAT MATCHUP",IF(H82=H81,"SAME TEAM",""))))))</f>
        <v/>
      </c>
      <c r="Z82" s="40"/>
      <c r="AA82" t="str">
        <f>IF(Y82="NO OPPONENT","",IF(Y82&lt;&gt;"",CONCATENATE("Previous Matchup Player #: ",VLOOKUP(D82,'Tournament Details'!$C:$X,22,FALSE)," - ",VLOOKUP(D82,'Tournament Details'!$C:$Y,23,FALSE)),""))</f>
        <v/>
      </c>
    </row>
  </sheetData>
  <sheetProtection algorithmName="SHA-512" hashValue="zof1b/xZO80T87zmXaljtW2MfF0wuk/bS10I7AhDdveMcaaLCHRtF86zgAdB+K515HOJLaoQx4/9FPlTlM+8bw==" saltValue="QT1FYX2SXDRUYfURcfbfHA==" spinCount="100000" sheet="1" selectLockedCells="1"/>
  <mergeCells count="42">
    <mergeCell ref="Y1:AA2"/>
    <mergeCell ref="A73:A74"/>
    <mergeCell ref="A75:A76"/>
    <mergeCell ref="A77:A78"/>
    <mergeCell ref="A79:A80"/>
    <mergeCell ref="A47:A48"/>
    <mergeCell ref="A25:A26"/>
    <mergeCell ref="A27:A28"/>
    <mergeCell ref="A29:A30"/>
    <mergeCell ref="A31:A32"/>
    <mergeCell ref="A33:A34"/>
    <mergeCell ref="A35:A36"/>
    <mergeCell ref="A37:A38"/>
    <mergeCell ref="A39:A40"/>
    <mergeCell ref="A41:A42"/>
    <mergeCell ref="A43:A44"/>
    <mergeCell ref="A81:A82"/>
    <mergeCell ref="A71:A72"/>
    <mergeCell ref="A49:A50"/>
    <mergeCell ref="A51:A52"/>
    <mergeCell ref="A53:A54"/>
    <mergeCell ref="A55:A56"/>
    <mergeCell ref="A57:A58"/>
    <mergeCell ref="A59:A60"/>
    <mergeCell ref="A61:A62"/>
    <mergeCell ref="A63:A64"/>
    <mergeCell ref="A65:A66"/>
    <mergeCell ref="A67:A68"/>
    <mergeCell ref="A69:A70"/>
    <mergeCell ref="A45:A46"/>
    <mergeCell ref="A23:A24"/>
    <mergeCell ref="A1:Q1"/>
    <mergeCell ref="A3:A4"/>
    <mergeCell ref="A5:A6"/>
    <mergeCell ref="A7:A8"/>
    <mergeCell ref="A9:A10"/>
    <mergeCell ref="A11:A12"/>
    <mergeCell ref="A13:A14"/>
    <mergeCell ref="A15:A16"/>
    <mergeCell ref="A17:A18"/>
    <mergeCell ref="A19:A20"/>
    <mergeCell ref="A21:A22"/>
  </mergeCells>
  <conditionalFormatting sqref="D3:D82">
    <cfRule type="cellIs" dxfId="28" priority="8" operator="equal">
      <formula>0</formula>
    </cfRule>
  </conditionalFormatting>
  <conditionalFormatting sqref="Z3:Z82">
    <cfRule type="notContainsBlanks" dxfId="27" priority="6">
      <formula>LEN(TRIM(Z3))&gt;0</formula>
    </cfRule>
  </conditionalFormatting>
  <conditionalFormatting sqref="G3:G82">
    <cfRule type="cellIs" dxfId="26" priority="5" operator="equal">
      <formula>0</formula>
    </cfRule>
  </conditionalFormatting>
  <conditionalFormatting sqref="H3:H82">
    <cfRule type="cellIs" dxfId="25" priority="3" operator="between">
      <formula>1</formula>
      <formula>10000</formula>
    </cfRule>
    <cfRule type="cellIs" dxfId="24" priority="4" operator="equal">
      <formula>0</formula>
    </cfRule>
  </conditionalFormatting>
  <conditionalFormatting sqref="A3:A82">
    <cfRule type="notContainsBlanks" dxfId="23" priority="2">
      <formula>LEN(TRIM(A3))&gt;0</formula>
    </cfRule>
  </conditionalFormatting>
  <conditionalFormatting sqref="Y3:Y82">
    <cfRule type="notContainsBlanks" dxfId="22" priority="1">
      <formula>LEN(TRIM(Y3))&gt;0</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A82"/>
  <sheetViews>
    <sheetView showGridLines="0" showRowColHeaders="0" zoomScaleNormal="100" workbookViewId="0">
      <pane ySplit="2" topLeftCell="A3" activePane="bottomLeft" state="frozen"/>
      <selection activeCell="I16" sqref="I16"/>
      <selection pane="bottomLeft" activeCell="K3" sqref="K3"/>
    </sheetView>
  </sheetViews>
  <sheetFormatPr defaultRowHeight="14.4" x14ac:dyDescent="0.3"/>
  <cols>
    <col min="1" max="1" width="12.44140625" bestFit="1" customWidth="1"/>
    <col min="2" max="3" width="12.44140625" hidden="1" customWidth="1"/>
    <col min="5" max="6" width="12.44140625" hidden="1" customWidth="1"/>
    <col min="7" max="7" width="11" hidden="1" customWidth="1"/>
    <col min="8" max="8" width="23.109375" customWidth="1"/>
    <col min="9" max="9" width="52.33203125" customWidth="1"/>
    <col min="10" max="10" width="8.88671875" hidden="1" customWidth="1"/>
    <col min="12" max="15" width="8.88671875" hidden="1" customWidth="1"/>
    <col min="16" max="16" width="8.88671875" customWidth="1"/>
    <col min="17" max="17" width="0" hidden="1" customWidth="1"/>
    <col min="18" max="19" width="4.33203125" style="136" hidden="1" customWidth="1"/>
    <col min="20" max="20" width="4.33203125" customWidth="1"/>
    <col min="21" max="24" width="4.33203125" hidden="1" customWidth="1"/>
    <col min="25" max="25" width="17.77734375" customWidth="1"/>
    <col min="26" max="26" width="1.6640625" customWidth="1"/>
    <col min="27" max="27" width="66.5546875" customWidth="1"/>
  </cols>
  <sheetData>
    <row r="1" spans="1:27" ht="24" thickBot="1" x14ac:dyDescent="0.5">
      <c r="A1" s="242" t="s">
        <v>31</v>
      </c>
      <c r="B1" s="243"/>
      <c r="C1" s="243"/>
      <c r="D1" s="243"/>
      <c r="E1" s="243"/>
      <c r="F1" s="243"/>
      <c r="G1" s="243"/>
      <c r="H1" s="243"/>
      <c r="I1" s="243"/>
      <c r="J1" s="243"/>
      <c r="K1" s="243"/>
      <c r="L1" s="243"/>
      <c r="M1" s="243"/>
      <c r="N1" s="243"/>
      <c r="O1" s="243"/>
      <c r="P1" s="243"/>
      <c r="Q1" s="244"/>
      <c r="R1" s="133"/>
      <c r="S1" s="133"/>
      <c r="Y1" s="226" t="s">
        <v>115</v>
      </c>
      <c r="Z1" s="227"/>
      <c r="AA1" s="228"/>
    </row>
    <row r="2" spans="1:27" ht="15" thickBot="1" x14ac:dyDescent="0.35">
      <c r="A2" s="5" t="s">
        <v>0</v>
      </c>
      <c r="B2" s="33" t="s">
        <v>21</v>
      </c>
      <c r="C2" s="33" t="s">
        <v>29</v>
      </c>
      <c r="D2" s="32" t="s">
        <v>1</v>
      </c>
      <c r="E2" s="33" t="s">
        <v>27</v>
      </c>
      <c r="F2" s="38" t="s">
        <v>28</v>
      </c>
      <c r="G2" s="38" t="s">
        <v>25</v>
      </c>
      <c r="H2" s="32" t="s">
        <v>26</v>
      </c>
      <c r="I2" s="41" t="s">
        <v>2</v>
      </c>
      <c r="J2" s="48" t="s">
        <v>4</v>
      </c>
      <c r="K2" s="49" t="s">
        <v>3</v>
      </c>
      <c r="L2" s="22" t="s">
        <v>17</v>
      </c>
      <c r="M2" s="22" t="s">
        <v>19</v>
      </c>
      <c r="N2" s="22" t="s">
        <v>16</v>
      </c>
      <c r="O2" s="22" t="s">
        <v>18</v>
      </c>
      <c r="P2" s="49" t="s">
        <v>4</v>
      </c>
      <c r="Q2" s="182" t="s">
        <v>120</v>
      </c>
      <c r="R2" s="134"/>
      <c r="S2" s="134"/>
      <c r="Y2" s="229"/>
      <c r="Z2" s="230"/>
      <c r="AA2" s="231"/>
    </row>
    <row r="3" spans="1:27" ht="15" customHeight="1" thickBot="1" x14ac:dyDescent="0.35">
      <c r="A3" s="225" t="str">
        <f>IF('Tournament Details'!A1&gt;=1,IF(LARGE('Tournament Details'!C7:C86,1)&gt;=2,1,""),"")</f>
        <v/>
      </c>
      <c r="B3" s="42">
        <f t="shared" ref="B3:B34" si="0">IF(Q3="","",(Q3*10000)+K3)</f>
        <v>0</v>
      </c>
      <c r="C3" s="44" t="str">
        <f t="shared" ref="C3:C34" si="1">IF(D3="","",IF(COUNTIF(E:E,E3)=1,RANK(E3,E:E),RANK(F3,F:F)))</f>
        <v/>
      </c>
      <c r="D3" s="66" t="str">
        <f>IF('Tournament Details'!A1&gt;=1,IF('Tournament Details'!C7&lt;=LARGE('Round 3'!$C:$C,1),VLOOKUP(SMALL('Round 3'!$C:$C,1),'Round 3'!$C:$D,2,FALSE),""),"")</f>
        <v/>
      </c>
      <c r="E3" s="44" t="str">
        <f>IF(D3="","",B3+VLOOKUP(D3,'Round 3'!$D:$E,2,FALSE))</f>
        <v/>
      </c>
      <c r="F3" s="44" t="str">
        <f>IF(D3="","",(LARGE('Tournament Details'!$C:$C,1)+1-D3)+E3)</f>
        <v/>
      </c>
      <c r="G3" s="23" t="str">
        <f>D4</f>
        <v/>
      </c>
      <c r="H3" s="25" t="str">
        <f>IF(D3="","",IF(VLOOKUP(D3,'Tournament Details'!$C:$G,5,FALSE)="",D3,VLOOKUP(D3,'Tournament Details'!$C:$G,5,FALSE)))</f>
        <v/>
      </c>
      <c r="I3" s="7" t="str">
        <f>IF(D3=0,"",IF(VLOOKUP(D3,'Tournament Details'!$C:$E,3,FALSE)&gt;0,VLOOKUP(D3,'Tournament Details'!$C:$E,3,FALSE),""))</f>
        <v/>
      </c>
      <c r="J3" s="127"/>
      <c r="K3" s="127"/>
      <c r="L3" s="23"/>
      <c r="M3" s="23"/>
      <c r="N3" s="23"/>
      <c r="O3" s="23"/>
      <c r="P3" s="190">
        <v>0</v>
      </c>
      <c r="Q3" s="183">
        <f t="shared" ref="Q3:Q34" si="2">IF(P3="",0,P3)</f>
        <v>0</v>
      </c>
      <c r="R3" s="135" t="str">
        <f t="shared" ref="R3:R34" si="3">IF(J3="","",IF(J3&gt;16,"!",IF(J3&lt;4,"!","")))</f>
        <v/>
      </c>
      <c r="S3" s="135" t="str">
        <f>IF(Q3="","",IF(Q3+VLOOKUP(G3,D:Q,14,FALSE)&lt;&gt;20,IF(Q3+VLOOKUP(G3,D:Q,14,FALSE)&lt;&gt;0,"!",""),""))</f>
        <v/>
      </c>
      <c r="T3" s="21" t="str">
        <f t="shared" ref="T3:T34" si="4">IF(R3="!","!",IF(S3="!","!",""))</f>
        <v/>
      </c>
      <c r="U3" s="132">
        <f>IF(D3="",0,VLOOKUP(D3,'Tournament Details'!$C:$X,22,FALSE))</f>
        <v>0</v>
      </c>
      <c r="V3" s="132">
        <f>IF(D3="",0,VLOOKUP(D3,'Tournament Details'!$C:$Y,23,FALSE))</f>
        <v>0</v>
      </c>
      <c r="W3" s="132">
        <f>IF(D3="",0,VLOOKUP(D3,'Tournament Details'!$C:$Z,24,FALSE))</f>
        <v>0</v>
      </c>
      <c r="X3" s="132">
        <f>IF(D3="",0,VLOOKUP(D3,'Tournament Details'!$C:$AA,25,FALSE))</f>
        <v>0</v>
      </c>
      <c r="Y3" s="40" t="str">
        <f>IF(D3="","",IF(COUNTIF(D:D,D3)&gt;1,"DUPLICATE PLAYER",IF(D4="","NO OPPONENT",IF(D4=U3,"REPEAT MATCHUP",IF(D4=V3,"REPEAT MATCHUP",IF(D4=W3,"REPEAT MATCHUP",IF(H3=H4,"SAME TEAM","")))))))</f>
        <v/>
      </c>
      <c r="Z3" s="40"/>
      <c r="AA3" t="str">
        <f>IF(Y3="NO OPPONENT","",IF(Y3&lt;&gt;"",CONCATENATE("Previous Matchup Player #: ",VLOOKUP(D3,'Tournament Details'!$C:$X,22,FALSE)," - ",VLOOKUP(D3,'Tournament Details'!$C:$Y,23,FALSE)," - ",VLOOKUP(D3,'Tournament Details'!$C:$Z,24,FALSE)),""))</f>
        <v/>
      </c>
    </row>
    <row r="4" spans="1:27" ht="15" customHeight="1" thickBot="1" x14ac:dyDescent="0.35">
      <c r="A4" s="224"/>
      <c r="B4" s="43">
        <f t="shared" si="0"/>
        <v>0</v>
      </c>
      <c r="C4" s="44" t="str">
        <f t="shared" si="1"/>
        <v/>
      </c>
      <c r="D4" s="74" t="str">
        <f>IF('Tournament Details'!A1&gt;=1,IF('Tournament Details'!C8&lt;=LARGE('Round 3'!$C:$C,1),VLOOKUP(SMALL('Round 3'!$C:$C,2),'Round 3'!$C:$D,2,FALSE),""),"")</f>
        <v/>
      </c>
      <c r="E4" s="44" t="str">
        <f>IF(D4="","",B4+VLOOKUP(D4,'Round 3'!$D:$E,2,FALSE))</f>
        <v/>
      </c>
      <c r="F4" s="44" t="str">
        <f>IF(D4="","",(LARGE('Tournament Details'!$C:$C,1)+1-D4)+E4)</f>
        <v/>
      </c>
      <c r="G4" s="24" t="str">
        <f>D3</f>
        <v/>
      </c>
      <c r="H4" s="26" t="str">
        <f>IF(D4="","",IF(VLOOKUP(D4,'Tournament Details'!$C:$G,5,FALSE)="",D4,VLOOKUP(D4,'Tournament Details'!$C:$G,5,FALSE)))</f>
        <v/>
      </c>
      <c r="I4" s="12" t="str">
        <f>IF(D4=0,"",IF(VLOOKUP(D4,'Tournament Details'!$C:$E,3,FALSE)&gt;0,VLOOKUP(D4,'Tournament Details'!$C:$E,3,FALSE),""))</f>
        <v/>
      </c>
      <c r="J4" s="128"/>
      <c r="K4" s="128"/>
      <c r="L4" s="23"/>
      <c r="M4" s="24"/>
      <c r="N4" s="24"/>
      <c r="O4" s="24"/>
      <c r="P4" s="191">
        <v>0</v>
      </c>
      <c r="Q4" s="183">
        <f t="shared" si="2"/>
        <v>0</v>
      </c>
      <c r="R4" s="135" t="str">
        <f t="shared" si="3"/>
        <v/>
      </c>
      <c r="S4" s="135" t="str">
        <f>IF(Q4="","",IF(Q4+VLOOKUP(G4,D:Q,14,FALSE)&lt;&gt;20,IF(Q4+VLOOKUP(G4,D:Q,14,FALSE)&lt;&gt;0,"!",""),""))</f>
        <v/>
      </c>
      <c r="T4" s="21" t="str">
        <f t="shared" si="4"/>
        <v/>
      </c>
      <c r="U4" s="132">
        <f>IF(D4="",0,VLOOKUP(D4,'Tournament Details'!$C:$X,22,FALSE))</f>
        <v>0</v>
      </c>
      <c r="V4" s="132">
        <f>IF(D4="",0,VLOOKUP(D4,'Tournament Details'!$C:$Y,23,FALSE))</f>
        <v>0</v>
      </c>
      <c r="W4" s="132">
        <f>IF(D4="",0,VLOOKUP(D4,'Tournament Details'!$C:$Z,24,FALSE))</f>
        <v>0</v>
      </c>
      <c r="X4" s="132">
        <f>IF(D4="",0,VLOOKUP(D4,'Tournament Details'!$C:$AA,25,FALSE))</f>
        <v>0</v>
      </c>
      <c r="Y4" s="40" t="str">
        <f>IF(D4="","",IF(COUNTIF(D:D,D4)&gt;1,"DUPLICATE PLAYER",IF(D3="","NO OPPONENT",IF(D3=U4,"REPEAT MATCHUP",IF(D3=V4,"REPEAT MATCHUP",IF(D3=W4,"REPEAT MATCHUP",IF(H4=H3,"SAME TEAM","")))))))</f>
        <v/>
      </c>
      <c r="Z4" s="40"/>
      <c r="AA4" t="str">
        <f>IF(Y4="NO OPPONENT","",IF(Y4&lt;&gt;"",CONCATENATE("Previous Matchup Player #: ",VLOOKUP(D4,'Tournament Details'!$C:$X,22,FALSE)," - ",VLOOKUP(D4,'Tournament Details'!$C:$Y,23,FALSE)," - ",VLOOKUP(D4,'Tournament Details'!$C:$Z,24,FALSE)),""))</f>
        <v/>
      </c>
    </row>
    <row r="5" spans="1:27" ht="15" customHeight="1" thickBot="1" x14ac:dyDescent="0.35">
      <c r="A5" s="224" t="str">
        <f>IF('Tournament Details'!A1&gt;=1,IF(LARGE('Tournament Details'!C7:C86,1)&gt;=4,2,""),"")</f>
        <v/>
      </c>
      <c r="B5" s="42">
        <f t="shared" si="0"/>
        <v>0</v>
      </c>
      <c r="C5" s="44" t="str">
        <f t="shared" si="1"/>
        <v/>
      </c>
      <c r="D5" s="66" t="str">
        <f>IF('Tournament Details'!A1&gt;=1,IF('Tournament Details'!C9&lt;=LARGE('Round 3'!$C:$C,1),VLOOKUP(SMALL('Round 3'!$C:$C,3),'Round 3'!$C:$D,2,FALSE),""),"")</f>
        <v/>
      </c>
      <c r="E5" s="44" t="str">
        <f>IF(D5="","",B5+VLOOKUP(D5,'Round 3'!$D:$E,2,FALSE))</f>
        <v/>
      </c>
      <c r="F5" s="44" t="str">
        <f>IF(D5="","",(LARGE('Tournament Details'!$C:$C,1)+1-D5)+E5)</f>
        <v/>
      </c>
      <c r="G5" s="23" t="str">
        <f>D6</f>
        <v/>
      </c>
      <c r="H5" s="25" t="str">
        <f>IF(D5="","",IF(VLOOKUP(D5,'Tournament Details'!$C:$G,5,FALSE)="",D5,VLOOKUP(D5,'Tournament Details'!$C:$G,5,FALSE)))</f>
        <v/>
      </c>
      <c r="I5" s="7" t="str">
        <f>IF(D5=0,"",IF(VLOOKUP(D5,'Tournament Details'!$C:$E,3,FALSE)&gt;0,VLOOKUP(D5,'Tournament Details'!$C:$E,3,FALSE),""))</f>
        <v/>
      </c>
      <c r="J5" s="127"/>
      <c r="K5" s="127"/>
      <c r="L5" s="23"/>
      <c r="M5" s="23"/>
      <c r="N5" s="23"/>
      <c r="O5" s="23"/>
      <c r="P5" s="190">
        <v>0</v>
      </c>
      <c r="Q5" s="183">
        <f t="shared" si="2"/>
        <v>0</v>
      </c>
      <c r="R5" s="135" t="str">
        <f t="shared" si="3"/>
        <v/>
      </c>
      <c r="S5" s="135" t="str">
        <f>IF(Q5="","",IF(Q5+Q6&lt;&gt;20,IF(Q5+Q6&lt;&gt;0,"!",""),""))</f>
        <v/>
      </c>
      <c r="T5" s="21" t="str">
        <f t="shared" si="4"/>
        <v/>
      </c>
      <c r="U5" s="132">
        <f>IF(D5="",0,VLOOKUP(D5,'Tournament Details'!$C:$X,22,FALSE))</f>
        <v>0</v>
      </c>
      <c r="V5" s="132">
        <f>IF(D5="",0,VLOOKUP(D5,'Tournament Details'!$C:$Y,23,FALSE))</f>
        <v>0</v>
      </c>
      <c r="W5" s="132">
        <f>IF(D5="",0,VLOOKUP(D5,'Tournament Details'!$C:$Z,24,FALSE))</f>
        <v>0</v>
      </c>
      <c r="X5" s="132">
        <f>IF(D5="",0,VLOOKUP(D5,'Tournament Details'!$C:$AA,25,FALSE))</f>
        <v>0</v>
      </c>
      <c r="Y5" s="40" t="str">
        <f>IF(D5="","",IF(COUNTIF(D:D,D5)&gt;1,"DUPLICATE PLAYER",IF(D6="","NO OPPONENT",IF(D6=U5,"REPEAT MATCHUP",IF(D6=V5,"REPEAT MATCHUP",IF(D6=W5,"REPEAT MATCHUP",IF(H5=H6,"SAME TEAM","")))))))</f>
        <v/>
      </c>
      <c r="Z5" s="40"/>
      <c r="AA5" t="str">
        <f>IF(Y5="NO OPPONENT","",IF(Y5&lt;&gt;"",CONCATENATE("Previous Matchup Player #: ",VLOOKUP(D5,'Tournament Details'!$C:$X,22,FALSE)," - ",VLOOKUP(D5,'Tournament Details'!$C:$Y,23,FALSE)," - ",VLOOKUP(D5,'Tournament Details'!$C:$Z,24,FALSE)),""))</f>
        <v/>
      </c>
    </row>
    <row r="6" spans="1:27" ht="15" customHeight="1" thickBot="1" x14ac:dyDescent="0.35">
      <c r="A6" s="224"/>
      <c r="B6" s="43">
        <f t="shared" si="0"/>
        <v>0</v>
      </c>
      <c r="C6" s="44" t="str">
        <f t="shared" si="1"/>
        <v/>
      </c>
      <c r="D6" s="74" t="str">
        <f>IF('Tournament Details'!A1&gt;=1,IF('Tournament Details'!C10&lt;=LARGE('Round 3'!$C:$C,1),VLOOKUP(SMALL('Round 3'!$C:$C,4),'Round 3'!$C:$D,2,FALSE),""),"")</f>
        <v/>
      </c>
      <c r="E6" s="44" t="str">
        <f>IF(D6="","",B6+VLOOKUP(D6,'Round 3'!$D:$E,2,FALSE))</f>
        <v/>
      </c>
      <c r="F6" s="44" t="str">
        <f>IF(D6="","",(LARGE('Tournament Details'!$C:$C,1)+1-D6)+E6)</f>
        <v/>
      </c>
      <c r="G6" s="24" t="str">
        <f>D5</f>
        <v/>
      </c>
      <c r="H6" s="26" t="str">
        <f>IF(D6="","",IF(VLOOKUP(D6,'Tournament Details'!$C:$G,5,FALSE)="",D6,VLOOKUP(D6,'Tournament Details'!$C:$G,5,FALSE)))</f>
        <v/>
      </c>
      <c r="I6" s="12" t="str">
        <f>IF(D6=0,"",IF(VLOOKUP(D6,'Tournament Details'!$C:$E,3,FALSE)&gt;0,VLOOKUP(D6,'Tournament Details'!$C:$E,3,FALSE),""))</f>
        <v/>
      </c>
      <c r="J6" s="128"/>
      <c r="K6" s="128"/>
      <c r="L6" s="23"/>
      <c r="M6" s="24"/>
      <c r="N6" s="24"/>
      <c r="O6" s="24"/>
      <c r="P6" s="191">
        <v>0</v>
      </c>
      <c r="Q6" s="183">
        <f t="shared" si="2"/>
        <v>0</v>
      </c>
      <c r="R6" s="135" t="str">
        <f t="shared" si="3"/>
        <v/>
      </c>
      <c r="S6" s="135" t="str">
        <f>IF(Q6="","",IF(Q5+Q6&lt;&gt;20,IF(Q5+Q6&lt;&gt;0,"!",""),""))</f>
        <v/>
      </c>
      <c r="T6" s="21" t="str">
        <f t="shared" si="4"/>
        <v/>
      </c>
      <c r="U6" s="132">
        <f>IF(D6="",0,VLOOKUP(D6,'Tournament Details'!$C:$X,22,FALSE))</f>
        <v>0</v>
      </c>
      <c r="V6" s="132">
        <f>IF(D6="",0,VLOOKUP(D6,'Tournament Details'!$C:$Y,23,FALSE))</f>
        <v>0</v>
      </c>
      <c r="W6" s="132">
        <f>IF(D6="",0,VLOOKUP(D6,'Tournament Details'!$C:$Z,24,FALSE))</f>
        <v>0</v>
      </c>
      <c r="X6" s="132">
        <f>IF(D6="",0,VLOOKUP(D6,'Tournament Details'!$C:$AA,25,FALSE))</f>
        <v>0</v>
      </c>
      <c r="Y6" s="40" t="str">
        <f>IF(D6="","",IF(COUNTIF(D:D,D6)&gt;1,"DUPLICATE PLAYER",IF(D5="","NO OPPONENT",IF(D5=U6,"REPEAT MATCHUP",IF(D5=V6,"REPEAT MATCHUP",IF(D5=W6,"REPEAT MATCHUP",IF(H6=H5,"SAME TEAM","")))))))</f>
        <v/>
      </c>
      <c r="Z6" s="40"/>
      <c r="AA6" t="str">
        <f>IF(Y6="NO OPPONENT","",IF(Y6&lt;&gt;"",CONCATENATE("Previous Matchup Player #: ",VLOOKUP(D6,'Tournament Details'!$C:$X,22,FALSE)," - ",VLOOKUP(D6,'Tournament Details'!$C:$Y,23,FALSE)," - ",VLOOKUP(D6,'Tournament Details'!$C:$Z,24,FALSE)),""))</f>
        <v/>
      </c>
    </row>
    <row r="7" spans="1:27" ht="15" customHeight="1" thickBot="1" x14ac:dyDescent="0.35">
      <c r="A7" s="224" t="str">
        <f>IF('Tournament Details'!A1&gt;=1,IF(LARGE('Tournament Details'!C7:C86,1)&gt;=6,3,""),"")</f>
        <v/>
      </c>
      <c r="B7" s="42">
        <f t="shared" si="0"/>
        <v>0</v>
      </c>
      <c r="C7" s="44" t="str">
        <f t="shared" si="1"/>
        <v/>
      </c>
      <c r="D7" s="66" t="str">
        <f>IF('Tournament Details'!A1&gt;=1,IF('Tournament Details'!C11&lt;=LARGE('Round 3'!$C:$C,1),VLOOKUP(SMALL('Round 3'!$C:$C,5),'Round 3'!$C:$D,2,FALSE),""),"")</f>
        <v/>
      </c>
      <c r="E7" s="44" t="str">
        <f>IF(D7="","",B7+VLOOKUP(D7,'Round 3'!$D:$E,2,FALSE))</f>
        <v/>
      </c>
      <c r="F7" s="44" t="str">
        <f>IF(D7="","",(LARGE('Tournament Details'!$C:$C,1)+1-D7)+E7)</f>
        <v/>
      </c>
      <c r="G7" s="23" t="str">
        <f>D8</f>
        <v/>
      </c>
      <c r="H7" s="25" t="str">
        <f>IF(D7="","",IF(VLOOKUP(D7,'Tournament Details'!$C:$G,5,FALSE)="",D7,VLOOKUP(D7,'Tournament Details'!$C:$G,5,FALSE)))</f>
        <v/>
      </c>
      <c r="I7" s="7" t="str">
        <f>IF(D7=0,"",IF(VLOOKUP(D7,'Tournament Details'!$C:$E,3,FALSE)&gt;0,VLOOKUP(D7,'Tournament Details'!$C:$E,3,FALSE),""))</f>
        <v/>
      </c>
      <c r="J7" s="127"/>
      <c r="K7" s="127"/>
      <c r="L7" s="23"/>
      <c r="M7" s="23"/>
      <c r="N7" s="23"/>
      <c r="O7" s="23"/>
      <c r="P7" s="190">
        <v>0</v>
      </c>
      <c r="Q7" s="183">
        <f t="shared" si="2"/>
        <v>0</v>
      </c>
      <c r="R7" s="135" t="str">
        <f t="shared" si="3"/>
        <v/>
      </c>
      <c r="S7" s="135" t="str">
        <f>IF(Q7="","",IF(Q7+Q8&lt;&gt;20,IF(Q7+Q8&lt;&gt;0,"!",""),""))</f>
        <v/>
      </c>
      <c r="T7" s="21" t="str">
        <f t="shared" si="4"/>
        <v/>
      </c>
      <c r="U7" s="132">
        <f>IF(D7="",0,VLOOKUP(D7,'Tournament Details'!$C:$X,22,FALSE))</f>
        <v>0</v>
      </c>
      <c r="V7" s="132">
        <f>IF(D7="",0,VLOOKUP(D7,'Tournament Details'!$C:$Y,23,FALSE))</f>
        <v>0</v>
      </c>
      <c r="W7" s="132">
        <f>IF(D7="",0,VLOOKUP(D7,'Tournament Details'!$C:$Z,24,FALSE))</f>
        <v>0</v>
      </c>
      <c r="X7" s="132">
        <f>IF(D7="",0,VLOOKUP(D7,'Tournament Details'!$C:$AA,25,FALSE))</f>
        <v>0</v>
      </c>
      <c r="Y7" s="40" t="str">
        <f>IF(D7="","",IF(COUNTIF(D:D,D7)&gt;1,"DUPLICATE PLAYER",IF(D8="","NO OPPONENT",IF(D8=U7,"REPEAT MATCHUP",IF(D8=V7,"REPEAT MATCHUP",IF(D8=W7,"REPEAT MATCHUP",IF(H7=H8,"SAME TEAM","")))))))</f>
        <v/>
      </c>
      <c r="Z7" s="40"/>
      <c r="AA7" t="str">
        <f>IF(Y7="NO OPPONENT","",IF(Y7&lt;&gt;"",CONCATENATE("Previous Matchup Player #: ",VLOOKUP(D7,'Tournament Details'!$C:$X,22,FALSE)," - ",VLOOKUP(D7,'Tournament Details'!$C:$Y,23,FALSE)," - ",VLOOKUP(D7,'Tournament Details'!$C:$Z,24,FALSE)),""))</f>
        <v/>
      </c>
    </row>
    <row r="8" spans="1:27" ht="15" customHeight="1" thickBot="1" x14ac:dyDescent="0.35">
      <c r="A8" s="224"/>
      <c r="B8" s="43">
        <f t="shared" si="0"/>
        <v>0</v>
      </c>
      <c r="C8" s="44" t="str">
        <f t="shared" si="1"/>
        <v/>
      </c>
      <c r="D8" s="74" t="str">
        <f>IF('Tournament Details'!A1&gt;=1,IF('Tournament Details'!C12&lt;=LARGE('Round 3'!$C:$C,1),VLOOKUP(SMALL('Round 3'!$C:$C,6),'Round 3'!$C:$D,2,FALSE),""),"")</f>
        <v/>
      </c>
      <c r="E8" s="44" t="str">
        <f>IF(D8="","",B8+VLOOKUP(D8,'Round 3'!$D:$E,2,FALSE))</f>
        <v/>
      </c>
      <c r="F8" s="44" t="str">
        <f>IF(D8="","",(LARGE('Tournament Details'!$C:$C,1)+1-D8)+E8)</f>
        <v/>
      </c>
      <c r="G8" s="24" t="str">
        <f>D7</f>
        <v/>
      </c>
      <c r="H8" s="26" t="str">
        <f>IF(D8="","",IF(VLOOKUP(D8,'Tournament Details'!$C:$G,5,FALSE)="",D8,VLOOKUP(D8,'Tournament Details'!$C:$G,5,FALSE)))</f>
        <v/>
      </c>
      <c r="I8" s="12" t="str">
        <f>IF(D8=0,"",IF(VLOOKUP(D8,'Tournament Details'!$C:$E,3,FALSE)&gt;0,VLOOKUP(D8,'Tournament Details'!$C:$E,3,FALSE),""))</f>
        <v/>
      </c>
      <c r="J8" s="128"/>
      <c r="K8" s="128"/>
      <c r="L8" s="23"/>
      <c r="M8" s="24"/>
      <c r="N8" s="24"/>
      <c r="O8" s="24"/>
      <c r="P8" s="191">
        <v>0</v>
      </c>
      <c r="Q8" s="183">
        <f t="shared" si="2"/>
        <v>0</v>
      </c>
      <c r="R8" s="135" t="str">
        <f t="shared" si="3"/>
        <v/>
      </c>
      <c r="S8" s="135" t="str">
        <f>IF(Q8="","",IF(Q7+Q8&lt;&gt;20,IF(Q7+Q8&lt;&gt;0,"!",""),""))</f>
        <v/>
      </c>
      <c r="T8" s="21" t="str">
        <f t="shared" si="4"/>
        <v/>
      </c>
      <c r="U8" s="132">
        <f>IF(D8="",0,VLOOKUP(D8,'Tournament Details'!$C:$X,22,FALSE))</f>
        <v>0</v>
      </c>
      <c r="V8" s="132">
        <f>IF(D8="",0,VLOOKUP(D8,'Tournament Details'!$C:$Y,23,FALSE))</f>
        <v>0</v>
      </c>
      <c r="W8" s="132">
        <f>IF(D8="",0,VLOOKUP(D8,'Tournament Details'!$C:$Z,24,FALSE))</f>
        <v>0</v>
      </c>
      <c r="X8" s="132">
        <f>IF(D8="",0,VLOOKUP(D8,'Tournament Details'!$C:$AA,25,FALSE))</f>
        <v>0</v>
      </c>
      <c r="Y8" s="40" t="str">
        <f>IF(D8="","",IF(COUNTIF(D:D,D8)&gt;1,"DUPLICATE PLAYER",IF(D7="","NO OPPONENT",IF(D7=U8,"REPEAT MATCHUP",IF(D7=V8,"REPEAT MATCHUP",IF(D7=W8,"REPEAT MATCHUP",IF(H8=H7,"SAME TEAM","")))))))</f>
        <v/>
      </c>
      <c r="Z8" s="40"/>
      <c r="AA8" t="str">
        <f>IF(Y8="NO OPPONENT","",IF(Y8&lt;&gt;"",CONCATENATE("Previous Matchup Player #: ",VLOOKUP(D8,'Tournament Details'!$C:$X,22,FALSE)," - ",VLOOKUP(D8,'Tournament Details'!$C:$Y,23,FALSE)," - ",VLOOKUP(D8,'Tournament Details'!$C:$Z,24,FALSE)),""))</f>
        <v/>
      </c>
    </row>
    <row r="9" spans="1:27" ht="15" customHeight="1" thickBot="1" x14ac:dyDescent="0.35">
      <c r="A9" s="224" t="str">
        <f>IF('Tournament Details'!A1&gt;=1,IF(LARGE('Tournament Details'!C7:C86,1)&gt;=8,4,""),"")</f>
        <v/>
      </c>
      <c r="B9" s="42">
        <f t="shared" si="0"/>
        <v>0</v>
      </c>
      <c r="C9" s="44" t="str">
        <f t="shared" si="1"/>
        <v/>
      </c>
      <c r="D9" s="66" t="str">
        <f>IF('Tournament Details'!A1&gt;=1,IF('Tournament Details'!C13&lt;=LARGE('Round 3'!$C:$C,1),VLOOKUP(SMALL('Round 3'!$C:$C,7),'Round 3'!$C:$D,2,FALSE),""),"")</f>
        <v/>
      </c>
      <c r="E9" s="44" t="str">
        <f>IF(D9="","",B9+VLOOKUP(D9,'Round 3'!$D:$E,2,FALSE))</f>
        <v/>
      </c>
      <c r="F9" s="44" t="str">
        <f>IF(D9="","",(LARGE('Tournament Details'!$C:$C,1)+1-D9)+E9)</f>
        <v/>
      </c>
      <c r="G9" s="23" t="str">
        <f>D10</f>
        <v/>
      </c>
      <c r="H9" s="25" t="str">
        <f>IF(D9="","",IF(VLOOKUP(D9,'Tournament Details'!$C:$G,5,FALSE)="",D9,VLOOKUP(D9,'Tournament Details'!$C:$G,5,FALSE)))</f>
        <v/>
      </c>
      <c r="I9" s="7" t="str">
        <f>IF(D9=0,"",IF(VLOOKUP(D9,'Tournament Details'!$C:$E,3,FALSE)&gt;0,VLOOKUP(D9,'Tournament Details'!$C:$E,3,FALSE),""))</f>
        <v/>
      </c>
      <c r="J9" s="127"/>
      <c r="K9" s="127"/>
      <c r="L9" s="23"/>
      <c r="M9" s="23"/>
      <c r="N9" s="23"/>
      <c r="O9" s="23"/>
      <c r="P9" s="190">
        <v>0</v>
      </c>
      <c r="Q9" s="183">
        <f t="shared" si="2"/>
        <v>0</v>
      </c>
      <c r="R9" s="135" t="str">
        <f t="shared" si="3"/>
        <v/>
      </c>
      <c r="S9" s="135" t="str">
        <f>IF(Q9="","",IF(Q9+Q10&lt;&gt;20,IF(Q9+Q10&lt;&gt;0,"!",""),""))</f>
        <v/>
      </c>
      <c r="T9" s="21" t="str">
        <f t="shared" si="4"/>
        <v/>
      </c>
      <c r="U9" s="132">
        <f>IF(D9="",0,VLOOKUP(D9,'Tournament Details'!$C:$X,22,FALSE))</f>
        <v>0</v>
      </c>
      <c r="V9" s="132">
        <f>IF(D9="",0,VLOOKUP(D9,'Tournament Details'!$C:$Y,23,FALSE))</f>
        <v>0</v>
      </c>
      <c r="W9" s="132">
        <f>IF(D9="",0,VLOOKUP(D9,'Tournament Details'!$C:$Z,24,FALSE))</f>
        <v>0</v>
      </c>
      <c r="X9" s="132">
        <f>IF(D9="",0,VLOOKUP(D9,'Tournament Details'!$C:$AA,25,FALSE))</f>
        <v>0</v>
      </c>
      <c r="Y9" s="40" t="str">
        <f>IF(D9="","",IF(COUNTIF(D:D,D9)&gt;1,"DUPLICATE PLAYER",IF(D10="","NO OPPONENT",IF(D10=U9,"REPEAT MATCHUP",IF(D10=V9,"REPEAT MATCHUP",IF(D10=W9,"REPEAT MATCHUP",IF(H9=H10,"SAME TEAM","")))))))</f>
        <v/>
      </c>
      <c r="Z9" s="40"/>
      <c r="AA9" t="str">
        <f>IF(Y9="NO OPPONENT","",IF(Y9&lt;&gt;"",CONCATENATE("Previous Matchup Player #: ",VLOOKUP(D9,'Tournament Details'!$C:$X,22,FALSE)," - ",VLOOKUP(D9,'Tournament Details'!$C:$Y,23,FALSE)," - ",VLOOKUP(D9,'Tournament Details'!$C:$Z,24,FALSE)),""))</f>
        <v/>
      </c>
    </row>
    <row r="10" spans="1:27" ht="15" customHeight="1" thickBot="1" x14ac:dyDescent="0.35">
      <c r="A10" s="224"/>
      <c r="B10" s="43">
        <f t="shared" si="0"/>
        <v>0</v>
      </c>
      <c r="C10" s="44" t="str">
        <f t="shared" si="1"/>
        <v/>
      </c>
      <c r="D10" s="74" t="str">
        <f>IF('Tournament Details'!A1&gt;=1,IF('Tournament Details'!C14&lt;=LARGE('Round 3'!$C:$C,1),VLOOKUP(SMALL('Round 3'!$C:$C,8),'Round 3'!$C:$D,2,FALSE),""),"")</f>
        <v/>
      </c>
      <c r="E10" s="44" t="str">
        <f>IF(D10="","",B10+VLOOKUP(D10,'Round 3'!$D:$E,2,FALSE))</f>
        <v/>
      </c>
      <c r="F10" s="44" t="str">
        <f>IF(D10="","",(LARGE('Tournament Details'!$C:$C,1)+1-D10)+E10)</f>
        <v/>
      </c>
      <c r="G10" s="24" t="str">
        <f>D9</f>
        <v/>
      </c>
      <c r="H10" s="26" t="str">
        <f>IF(D10="","",IF(VLOOKUP(D10,'Tournament Details'!$C:$G,5,FALSE)="",D10,VLOOKUP(D10,'Tournament Details'!$C:$G,5,FALSE)))</f>
        <v/>
      </c>
      <c r="I10" s="12" t="str">
        <f>IF(D10=0,"",IF(VLOOKUP(D10,'Tournament Details'!$C:$E,3,FALSE)&gt;0,VLOOKUP(D10,'Tournament Details'!$C:$E,3,FALSE),""))</f>
        <v/>
      </c>
      <c r="J10" s="128"/>
      <c r="K10" s="128"/>
      <c r="L10" s="23"/>
      <c r="M10" s="24"/>
      <c r="N10" s="24"/>
      <c r="O10" s="24"/>
      <c r="P10" s="191">
        <v>0</v>
      </c>
      <c r="Q10" s="183">
        <f t="shared" si="2"/>
        <v>0</v>
      </c>
      <c r="R10" s="135" t="str">
        <f t="shared" si="3"/>
        <v/>
      </c>
      <c r="S10" s="135" t="str">
        <f>IF(Q10="","",IF(Q9+Q10&lt;&gt;20,IF(Q9+Q10&lt;&gt;0,"!",""),""))</f>
        <v/>
      </c>
      <c r="T10" s="21" t="str">
        <f t="shared" si="4"/>
        <v/>
      </c>
      <c r="U10" s="132">
        <f>IF(D10="",0,VLOOKUP(D10,'Tournament Details'!$C:$X,22,FALSE))</f>
        <v>0</v>
      </c>
      <c r="V10" s="132">
        <f>IF(D10="",0,VLOOKUP(D10,'Tournament Details'!$C:$Y,23,FALSE))</f>
        <v>0</v>
      </c>
      <c r="W10" s="132">
        <f>IF(D10="",0,VLOOKUP(D10,'Tournament Details'!$C:$Z,24,FALSE))</f>
        <v>0</v>
      </c>
      <c r="X10" s="132">
        <f>IF(D10="",0,VLOOKUP(D10,'Tournament Details'!$C:$AA,25,FALSE))</f>
        <v>0</v>
      </c>
      <c r="Y10" s="40" t="str">
        <f>IF(D10="","",IF(COUNTIF(D:D,D10)&gt;1,"DUPLICATE PLAYER",IF(D9="","NO OPPONENT",IF(D9=U10,"REPEAT MATCHUP",IF(D9=V10,"REPEAT MATCHUP",IF(D9=W10,"REPEAT MATCHUP",IF(H10=H9,"SAME TEAM","")))))))</f>
        <v/>
      </c>
      <c r="Z10" s="40"/>
      <c r="AA10" t="str">
        <f>IF(Y10="NO OPPONENT","",IF(Y10&lt;&gt;"",CONCATENATE("Previous Matchup Player #: ",VLOOKUP(D10,'Tournament Details'!$C:$X,22,FALSE)," - ",VLOOKUP(D10,'Tournament Details'!$C:$Y,23,FALSE)," - ",VLOOKUP(D10,'Tournament Details'!$C:$Z,24,FALSE)),""))</f>
        <v/>
      </c>
    </row>
    <row r="11" spans="1:27" ht="15" customHeight="1" thickBot="1" x14ac:dyDescent="0.35">
      <c r="A11" s="224" t="str">
        <f>IF('Tournament Details'!A1&gt;=1,IF(LARGE('Tournament Details'!C7:C86,1)&gt;=10,5,""),"")</f>
        <v/>
      </c>
      <c r="B11" s="42">
        <f t="shared" si="0"/>
        <v>0</v>
      </c>
      <c r="C11" s="44" t="str">
        <f t="shared" si="1"/>
        <v/>
      </c>
      <c r="D11" s="66" t="str">
        <f>IF('Tournament Details'!A1&gt;=1,IF('Tournament Details'!C15&lt;=LARGE('Round 3'!$C:$C,1),VLOOKUP(SMALL('Round 3'!$C:$C,9),'Round 3'!$C:$D,2,FALSE),""),"")</f>
        <v/>
      </c>
      <c r="E11" s="44" t="str">
        <f>IF(D11="","",B11+VLOOKUP(D11,'Round 3'!$D:$E,2,FALSE))</f>
        <v/>
      </c>
      <c r="F11" s="44" t="str">
        <f>IF(D11="","",(LARGE('Tournament Details'!$C:$C,1)+1-D11)+E11)</f>
        <v/>
      </c>
      <c r="G11" s="23" t="str">
        <f>D12</f>
        <v/>
      </c>
      <c r="H11" s="25" t="str">
        <f>IF(D11="","",IF(VLOOKUP(D11,'Tournament Details'!$C:$G,5,FALSE)="",D11,VLOOKUP(D11,'Tournament Details'!$C:$G,5,FALSE)))</f>
        <v/>
      </c>
      <c r="I11" s="7" t="str">
        <f>IF(D11=0,"",IF(VLOOKUP(D11,'Tournament Details'!$C:$E,3,FALSE)&gt;0,VLOOKUP(D11,'Tournament Details'!$C:$E,3,FALSE),""))</f>
        <v/>
      </c>
      <c r="J11" s="127"/>
      <c r="K11" s="127"/>
      <c r="L11" s="23"/>
      <c r="M11" s="23"/>
      <c r="N11" s="23"/>
      <c r="O11" s="23"/>
      <c r="P11" s="190">
        <v>0</v>
      </c>
      <c r="Q11" s="183">
        <f t="shared" si="2"/>
        <v>0</v>
      </c>
      <c r="R11" s="135" t="str">
        <f t="shared" si="3"/>
        <v/>
      </c>
      <c r="S11" s="135" t="str">
        <f>IF(Q11="","",IF(Q11+Q12&lt;&gt;20,IF(Q11+Q12&lt;&gt;0,"!",""),""))</f>
        <v/>
      </c>
      <c r="T11" s="21" t="str">
        <f t="shared" si="4"/>
        <v/>
      </c>
      <c r="U11" s="132">
        <f>IF(D11="",0,VLOOKUP(D11,'Tournament Details'!$C:$X,22,FALSE))</f>
        <v>0</v>
      </c>
      <c r="V11" s="132">
        <f>IF(D11="",0,VLOOKUP(D11,'Tournament Details'!$C:$Y,23,FALSE))</f>
        <v>0</v>
      </c>
      <c r="W11" s="132">
        <f>IF(D11="",0,VLOOKUP(D11,'Tournament Details'!$C:$Z,24,FALSE))</f>
        <v>0</v>
      </c>
      <c r="X11" s="132">
        <f>IF(D11="",0,VLOOKUP(D11,'Tournament Details'!$C:$AA,25,FALSE))</f>
        <v>0</v>
      </c>
      <c r="Y11" s="40" t="str">
        <f>IF(D11="","",IF(COUNTIF(D:D,D11)&gt;1,"DUPLICATE PLAYER",IF(D12="","NO OPPONENT",IF(D12=U11,"REPEAT MATCHUP",IF(D12=V11,"REPEAT MATCHUP",IF(D12=W11,"REPEAT MATCHUP",IF(H11=H12,"SAME TEAM","")))))))</f>
        <v/>
      </c>
      <c r="Z11" s="40"/>
      <c r="AA11" t="str">
        <f>IF(Y11="NO OPPONENT","",IF(Y11&lt;&gt;"",CONCATENATE("Previous Matchup Player #: ",VLOOKUP(D11,'Tournament Details'!$C:$X,22,FALSE)," - ",VLOOKUP(D11,'Tournament Details'!$C:$Y,23,FALSE)," - ",VLOOKUP(D11,'Tournament Details'!$C:$Z,24,FALSE)),""))</f>
        <v/>
      </c>
    </row>
    <row r="12" spans="1:27" ht="15" customHeight="1" thickBot="1" x14ac:dyDescent="0.35">
      <c r="A12" s="224"/>
      <c r="B12" s="43">
        <f t="shared" si="0"/>
        <v>0</v>
      </c>
      <c r="C12" s="44" t="str">
        <f t="shared" si="1"/>
        <v/>
      </c>
      <c r="D12" s="74" t="str">
        <f>IF('Tournament Details'!A1&gt;=1,IF('Tournament Details'!C16&lt;=LARGE('Round 3'!$C:$C,1),VLOOKUP(SMALL('Round 3'!$C:$C,10),'Round 3'!$C:$D,2,FALSE),""),"")</f>
        <v/>
      </c>
      <c r="E12" s="44" t="str">
        <f>IF(D12="","",B12+VLOOKUP(D12,'Round 3'!$D:$E,2,FALSE))</f>
        <v/>
      </c>
      <c r="F12" s="44" t="str">
        <f>IF(D12="","",(LARGE('Tournament Details'!$C:$C,1)+1-D12)+E12)</f>
        <v/>
      </c>
      <c r="G12" s="24" t="str">
        <f>D11</f>
        <v/>
      </c>
      <c r="H12" s="26" t="str">
        <f>IF(D12="","",IF(VLOOKUP(D12,'Tournament Details'!$C:$G,5,FALSE)="",D12,VLOOKUP(D12,'Tournament Details'!$C:$G,5,FALSE)))</f>
        <v/>
      </c>
      <c r="I12" s="12" t="str">
        <f>IF(D12=0,"",IF(VLOOKUP(D12,'Tournament Details'!$C:$E,3,FALSE)&gt;0,VLOOKUP(D12,'Tournament Details'!$C:$E,3,FALSE),""))</f>
        <v/>
      </c>
      <c r="J12" s="128"/>
      <c r="K12" s="128"/>
      <c r="L12" s="23"/>
      <c r="M12" s="24"/>
      <c r="N12" s="24"/>
      <c r="O12" s="24"/>
      <c r="P12" s="191">
        <v>0</v>
      </c>
      <c r="Q12" s="183">
        <f t="shared" si="2"/>
        <v>0</v>
      </c>
      <c r="R12" s="135" t="str">
        <f t="shared" si="3"/>
        <v/>
      </c>
      <c r="S12" s="135" t="str">
        <f>IF(Q12="","",IF(Q11+Q12&lt;&gt;20,IF(Q11+Q12&lt;&gt;0,"!",""),""))</f>
        <v/>
      </c>
      <c r="T12" s="21" t="str">
        <f t="shared" si="4"/>
        <v/>
      </c>
      <c r="U12" s="132">
        <f>IF(D12="",0,VLOOKUP(D12,'Tournament Details'!$C:$X,22,FALSE))</f>
        <v>0</v>
      </c>
      <c r="V12" s="132">
        <f>IF(D12="",0,VLOOKUP(D12,'Tournament Details'!$C:$Y,23,FALSE))</f>
        <v>0</v>
      </c>
      <c r="W12" s="132">
        <f>IF(D12="",0,VLOOKUP(D12,'Tournament Details'!$C:$Z,24,FALSE))</f>
        <v>0</v>
      </c>
      <c r="X12" s="132">
        <f>IF(D12="",0,VLOOKUP(D12,'Tournament Details'!$C:$AA,25,FALSE))</f>
        <v>0</v>
      </c>
      <c r="Y12" s="40" t="str">
        <f>IF(D12="","",IF(COUNTIF(D:D,D12)&gt;1,"DUPLICATE PLAYER",IF(D11="","NO OPPONENT",IF(D11=U12,"REPEAT MATCHUP",IF(D11=V12,"REPEAT MATCHUP",IF(D11=W12,"REPEAT MATCHUP",IF(H12=H11,"SAME TEAM","")))))))</f>
        <v/>
      </c>
      <c r="Z12" s="40"/>
      <c r="AA12" t="str">
        <f>IF(Y12="NO OPPONENT","",IF(Y12&lt;&gt;"",CONCATENATE("Previous Matchup Player #: ",VLOOKUP(D12,'Tournament Details'!$C:$X,22,FALSE)," - ",VLOOKUP(D12,'Tournament Details'!$C:$Y,23,FALSE)," - ",VLOOKUP(D12,'Tournament Details'!$C:$Z,24,FALSE)),""))</f>
        <v/>
      </c>
    </row>
    <row r="13" spans="1:27" ht="15" customHeight="1" thickBot="1" x14ac:dyDescent="0.35">
      <c r="A13" s="224" t="str">
        <f>IF('Tournament Details'!A1&gt;=1,IF(LARGE('Tournament Details'!C7:C86,1)&gt;=12,6,""),"")</f>
        <v/>
      </c>
      <c r="B13" s="42">
        <f t="shared" si="0"/>
        <v>0</v>
      </c>
      <c r="C13" s="44" t="str">
        <f t="shared" si="1"/>
        <v/>
      </c>
      <c r="D13" s="66" t="str">
        <f>IF('Tournament Details'!A1&gt;=1,IF('Tournament Details'!C17&lt;=LARGE('Round 3'!$C:$C,1),VLOOKUP(SMALL('Round 3'!$C:$C,11),'Round 3'!$C:$D,2,FALSE),""),"")</f>
        <v/>
      </c>
      <c r="E13" s="44" t="str">
        <f>IF(D13="","",B13+VLOOKUP(D13,'Round 3'!$D:$E,2,FALSE))</f>
        <v/>
      </c>
      <c r="F13" s="44" t="str">
        <f>IF(D13="","",(LARGE('Tournament Details'!$C:$C,1)+1-D13)+E13)</f>
        <v/>
      </c>
      <c r="G13" s="23" t="str">
        <f>D14</f>
        <v/>
      </c>
      <c r="H13" s="25" t="str">
        <f>IF(D13="","",IF(VLOOKUP(D13,'Tournament Details'!$C:$G,5,FALSE)="",D13,VLOOKUP(D13,'Tournament Details'!$C:$G,5,FALSE)))</f>
        <v/>
      </c>
      <c r="I13" s="7" t="str">
        <f>IF(D13=0,"",IF(VLOOKUP(D13,'Tournament Details'!$C:$E,3,FALSE)&gt;0,VLOOKUP(D13,'Tournament Details'!$C:$E,3,FALSE),""))</f>
        <v/>
      </c>
      <c r="J13" s="127"/>
      <c r="K13" s="127"/>
      <c r="L13" s="23"/>
      <c r="M13" s="23"/>
      <c r="N13" s="23"/>
      <c r="O13" s="23"/>
      <c r="P13" s="190">
        <v>0</v>
      </c>
      <c r="Q13" s="183">
        <f t="shared" si="2"/>
        <v>0</v>
      </c>
      <c r="R13" s="135" t="str">
        <f t="shared" si="3"/>
        <v/>
      </c>
      <c r="S13" s="135" t="str">
        <f>IF(Q13="","",IF(Q13+Q14&lt;&gt;20,IF(Q13+Q14&lt;&gt;0,"!",""),""))</f>
        <v/>
      </c>
      <c r="T13" s="21" t="str">
        <f t="shared" si="4"/>
        <v/>
      </c>
      <c r="U13" s="132">
        <f>IF(D13="",0,VLOOKUP(D13,'Tournament Details'!$C:$X,22,FALSE))</f>
        <v>0</v>
      </c>
      <c r="V13" s="132">
        <f>IF(D13="",0,VLOOKUP(D13,'Tournament Details'!$C:$Y,23,FALSE))</f>
        <v>0</v>
      </c>
      <c r="W13" s="132">
        <f>IF(D13="",0,VLOOKUP(D13,'Tournament Details'!$C:$Z,24,FALSE))</f>
        <v>0</v>
      </c>
      <c r="X13" s="132">
        <f>IF(D13="",0,VLOOKUP(D13,'Tournament Details'!$C:$AA,25,FALSE))</f>
        <v>0</v>
      </c>
      <c r="Y13" s="40" t="str">
        <f>IF(D13="","",IF(COUNTIF(D:D,D13)&gt;1,"DUPLICATE PLAYER",IF(D14="","NO OPPONENT",IF(D14=U13,"REPEAT MATCHUP",IF(D14=V13,"REPEAT MATCHUP",IF(D14=W13,"REPEAT MATCHUP",IF(H13=H14,"SAME TEAM","")))))))</f>
        <v/>
      </c>
      <c r="Z13" s="40"/>
      <c r="AA13" t="str">
        <f>IF(Y13="NO OPPONENT","",IF(Y13&lt;&gt;"",CONCATENATE("Previous Matchup Player #: ",VLOOKUP(D13,'Tournament Details'!$C:$X,22,FALSE)," - ",VLOOKUP(D13,'Tournament Details'!$C:$Y,23,FALSE)," - ",VLOOKUP(D13,'Tournament Details'!$C:$Z,24,FALSE)),""))</f>
        <v/>
      </c>
    </row>
    <row r="14" spans="1:27" ht="15" customHeight="1" thickBot="1" x14ac:dyDescent="0.35">
      <c r="A14" s="224"/>
      <c r="B14" s="43">
        <f t="shared" si="0"/>
        <v>0</v>
      </c>
      <c r="C14" s="44" t="str">
        <f t="shared" si="1"/>
        <v/>
      </c>
      <c r="D14" s="74" t="str">
        <f>IF('Tournament Details'!A1&gt;=1,IF('Tournament Details'!C18&lt;=LARGE('Round 3'!$C:$C,1),VLOOKUP(SMALL('Round 3'!$C:$C,12),'Round 3'!$C:$D,2,FALSE),""),"")</f>
        <v/>
      </c>
      <c r="E14" s="44" t="str">
        <f>IF(D14="","",B14+VLOOKUP(D14,'Round 3'!$D:$E,2,FALSE))</f>
        <v/>
      </c>
      <c r="F14" s="44" t="str">
        <f>IF(D14="","",(LARGE('Tournament Details'!$C:$C,1)+1-D14)+E14)</f>
        <v/>
      </c>
      <c r="G14" s="24" t="str">
        <f>D13</f>
        <v/>
      </c>
      <c r="H14" s="26" t="str">
        <f>IF(D14="","",IF(VLOOKUP(D14,'Tournament Details'!$C:$G,5,FALSE)="",D14,VLOOKUP(D14,'Tournament Details'!$C:$G,5,FALSE)))</f>
        <v/>
      </c>
      <c r="I14" s="12" t="str">
        <f>IF(D14=0,"",IF(VLOOKUP(D14,'Tournament Details'!$C:$E,3,FALSE)&gt;0,VLOOKUP(D14,'Tournament Details'!$C:$E,3,FALSE),""))</f>
        <v/>
      </c>
      <c r="J14" s="128"/>
      <c r="K14" s="128"/>
      <c r="L14" s="23"/>
      <c r="M14" s="24"/>
      <c r="N14" s="24"/>
      <c r="O14" s="24"/>
      <c r="P14" s="191">
        <v>0</v>
      </c>
      <c r="Q14" s="183">
        <f t="shared" si="2"/>
        <v>0</v>
      </c>
      <c r="R14" s="135" t="str">
        <f t="shared" si="3"/>
        <v/>
      </c>
      <c r="S14" s="135" t="str">
        <f>IF(Q14="","",IF(Q13+Q14&lt;&gt;20,IF(Q13+Q14&lt;&gt;0,"!",""),""))</f>
        <v/>
      </c>
      <c r="T14" s="21" t="str">
        <f t="shared" si="4"/>
        <v/>
      </c>
      <c r="U14" s="132">
        <f>IF(D14="",0,VLOOKUP(D14,'Tournament Details'!$C:$X,22,FALSE))</f>
        <v>0</v>
      </c>
      <c r="V14" s="132">
        <f>IF(D14="",0,VLOOKUP(D14,'Tournament Details'!$C:$Y,23,FALSE))</f>
        <v>0</v>
      </c>
      <c r="W14" s="132">
        <f>IF(D14="",0,VLOOKUP(D14,'Tournament Details'!$C:$Z,24,FALSE))</f>
        <v>0</v>
      </c>
      <c r="X14" s="132">
        <f>IF(D14="",0,VLOOKUP(D14,'Tournament Details'!$C:$AA,25,FALSE))</f>
        <v>0</v>
      </c>
      <c r="Y14" s="40" t="str">
        <f>IF(D14="","",IF(COUNTIF(D:D,D14)&gt;1,"DUPLICATE PLAYER",IF(D13="","NO OPPONENT",IF(D13=U14,"REPEAT MATCHUP",IF(D13=V14,"REPEAT MATCHUP",IF(D13=W14,"REPEAT MATCHUP",IF(H14=H13,"SAME TEAM","")))))))</f>
        <v/>
      </c>
      <c r="Z14" s="40"/>
      <c r="AA14" t="str">
        <f>IF(Y14="NO OPPONENT","",IF(Y14&lt;&gt;"",CONCATENATE("Previous Matchup Player #: ",VLOOKUP(D14,'Tournament Details'!$C:$X,22,FALSE)," - ",VLOOKUP(D14,'Tournament Details'!$C:$Y,23,FALSE)," - ",VLOOKUP(D14,'Tournament Details'!$C:$Z,24,FALSE)),""))</f>
        <v/>
      </c>
    </row>
    <row r="15" spans="1:27" ht="15" customHeight="1" thickBot="1" x14ac:dyDescent="0.35">
      <c r="A15" s="224" t="str">
        <f>IF('Tournament Details'!A1&gt;=1,IF(LARGE('Tournament Details'!C7:C86,1)&gt;=14,7,""),"")</f>
        <v/>
      </c>
      <c r="B15" s="42">
        <f t="shared" si="0"/>
        <v>0</v>
      </c>
      <c r="C15" s="44" t="str">
        <f t="shared" si="1"/>
        <v/>
      </c>
      <c r="D15" s="66" t="str">
        <f>IF('Tournament Details'!A1&gt;=1,IF('Tournament Details'!C19&lt;=LARGE('Round 3'!$C:$C,1),VLOOKUP(SMALL('Round 3'!$C:$C,13),'Round 3'!$C:$D,2,FALSE),""),"")</f>
        <v/>
      </c>
      <c r="E15" s="44" t="str">
        <f>IF(D15="","",B15+VLOOKUP(D15,'Round 3'!$D:$E,2,FALSE))</f>
        <v/>
      </c>
      <c r="F15" s="44" t="str">
        <f>IF(D15="","",(LARGE('Tournament Details'!$C:$C,1)+1-D15)+E15)</f>
        <v/>
      </c>
      <c r="G15" s="23" t="str">
        <f>D16</f>
        <v/>
      </c>
      <c r="H15" s="25" t="str">
        <f>IF(D15="","",IF(VLOOKUP(D15,'Tournament Details'!$C:$G,5,FALSE)="",D15,VLOOKUP(D15,'Tournament Details'!$C:$G,5,FALSE)))</f>
        <v/>
      </c>
      <c r="I15" s="7" t="str">
        <f>IF(D15=0,"",IF(VLOOKUP(D15,'Tournament Details'!$C:$E,3,FALSE)&gt;0,VLOOKUP(D15,'Tournament Details'!$C:$E,3,FALSE),""))</f>
        <v/>
      </c>
      <c r="J15" s="127"/>
      <c r="K15" s="127"/>
      <c r="L15" s="23"/>
      <c r="M15" s="23"/>
      <c r="N15" s="23"/>
      <c r="O15" s="23"/>
      <c r="P15" s="190">
        <v>0</v>
      </c>
      <c r="Q15" s="183">
        <f t="shared" si="2"/>
        <v>0</v>
      </c>
      <c r="R15" s="135" t="str">
        <f t="shared" si="3"/>
        <v/>
      </c>
      <c r="S15" s="135" t="str">
        <f>IF(Q15="","",IF(Q15+Q16&lt;&gt;20,IF(Q15+Q16&lt;&gt;0,"!",""),""))</f>
        <v/>
      </c>
      <c r="T15" s="21" t="str">
        <f t="shared" si="4"/>
        <v/>
      </c>
      <c r="U15" s="132">
        <f>IF(D15="",0,VLOOKUP(D15,'Tournament Details'!$C:$X,22,FALSE))</f>
        <v>0</v>
      </c>
      <c r="V15" s="132">
        <f>IF(D15="",0,VLOOKUP(D15,'Tournament Details'!$C:$Y,23,FALSE))</f>
        <v>0</v>
      </c>
      <c r="W15" s="132">
        <f>IF(D15="",0,VLOOKUP(D15,'Tournament Details'!$C:$Z,24,FALSE))</f>
        <v>0</v>
      </c>
      <c r="X15" s="132">
        <f>IF(D15="",0,VLOOKUP(D15,'Tournament Details'!$C:$AA,25,FALSE))</f>
        <v>0</v>
      </c>
      <c r="Y15" s="40" t="str">
        <f>IF(D15="","",IF(COUNTIF(D:D,D15)&gt;1,"DUPLICATE PLAYER",IF(D16="","NO OPPONENT",IF(D16=U15,"REPEAT MATCHUP",IF(D16=V15,"REPEAT MATCHUP",IF(D16=W15,"REPEAT MATCHUP",IF(H15=H16,"SAME TEAM","")))))))</f>
        <v/>
      </c>
      <c r="Z15" s="40"/>
      <c r="AA15" t="str">
        <f>IF(Y15="NO OPPONENT","",IF(Y15&lt;&gt;"",CONCATENATE("Previous Matchup Player #: ",VLOOKUP(D15,'Tournament Details'!$C:$X,22,FALSE)," - ",VLOOKUP(D15,'Tournament Details'!$C:$Y,23,FALSE)," - ",VLOOKUP(D15,'Tournament Details'!$C:$Z,24,FALSE)),""))</f>
        <v/>
      </c>
    </row>
    <row r="16" spans="1:27" ht="15" customHeight="1" thickBot="1" x14ac:dyDescent="0.35">
      <c r="A16" s="224"/>
      <c r="B16" s="43">
        <f t="shared" si="0"/>
        <v>0</v>
      </c>
      <c r="C16" s="44" t="str">
        <f t="shared" si="1"/>
        <v/>
      </c>
      <c r="D16" s="74" t="str">
        <f>IF('Tournament Details'!A1&gt;=1,IF('Tournament Details'!C20&lt;=LARGE('Round 3'!$C:$C,1),VLOOKUP(SMALL('Round 3'!$C:$C,14),'Round 3'!$C:$D,2,FALSE),""),"")</f>
        <v/>
      </c>
      <c r="E16" s="44" t="str">
        <f>IF(D16="","",B16+VLOOKUP(D16,'Round 3'!$D:$E,2,FALSE))</f>
        <v/>
      </c>
      <c r="F16" s="44" t="str">
        <f>IF(D16="","",(LARGE('Tournament Details'!$C:$C,1)+1-D16)+E16)</f>
        <v/>
      </c>
      <c r="G16" s="24" t="str">
        <f>D15</f>
        <v/>
      </c>
      <c r="H16" s="26" t="str">
        <f>IF(D16="","",IF(VLOOKUP(D16,'Tournament Details'!$C:$G,5,FALSE)="",D16,VLOOKUP(D16,'Tournament Details'!$C:$G,5,FALSE)))</f>
        <v/>
      </c>
      <c r="I16" s="12" t="str">
        <f>IF(D16=0,"",IF(VLOOKUP(D16,'Tournament Details'!$C:$E,3,FALSE)&gt;0,VLOOKUP(D16,'Tournament Details'!$C:$E,3,FALSE),""))</f>
        <v/>
      </c>
      <c r="J16" s="128"/>
      <c r="K16" s="128"/>
      <c r="L16" s="23"/>
      <c r="M16" s="24"/>
      <c r="N16" s="24"/>
      <c r="O16" s="24"/>
      <c r="P16" s="191">
        <v>0</v>
      </c>
      <c r="Q16" s="183">
        <f t="shared" si="2"/>
        <v>0</v>
      </c>
      <c r="R16" s="135" t="str">
        <f t="shared" si="3"/>
        <v/>
      </c>
      <c r="S16" s="135" t="str">
        <f>IF(Q16="","",IF(Q15+Q16&lt;&gt;20,IF(Q15+Q16&lt;&gt;0,"!",""),""))</f>
        <v/>
      </c>
      <c r="T16" s="21" t="str">
        <f t="shared" si="4"/>
        <v/>
      </c>
      <c r="U16" s="132">
        <f>IF(D16="",0,VLOOKUP(D16,'Tournament Details'!$C:$X,22,FALSE))</f>
        <v>0</v>
      </c>
      <c r="V16" s="132">
        <f>IF(D16="",0,VLOOKUP(D16,'Tournament Details'!$C:$Y,23,FALSE))</f>
        <v>0</v>
      </c>
      <c r="W16" s="132">
        <f>IF(D16="",0,VLOOKUP(D16,'Tournament Details'!$C:$Z,24,FALSE))</f>
        <v>0</v>
      </c>
      <c r="X16" s="132">
        <f>IF(D16="",0,VLOOKUP(D16,'Tournament Details'!$C:$AA,25,FALSE))</f>
        <v>0</v>
      </c>
      <c r="Y16" s="40" t="str">
        <f>IF(D16="","",IF(COUNTIF(D:D,D16)&gt;1,"DUPLICATE PLAYER",IF(D15="","NO OPPONENT",IF(D15=U16,"REPEAT MATCHUP",IF(D15=V16,"REPEAT MATCHUP",IF(D15=W16,"REPEAT MATCHUP",IF(H16=H15,"SAME TEAM","")))))))</f>
        <v/>
      </c>
      <c r="Z16" s="40"/>
      <c r="AA16" t="str">
        <f>IF(Y16="NO OPPONENT","",IF(Y16&lt;&gt;"",CONCATENATE("Previous Matchup Player #: ",VLOOKUP(D16,'Tournament Details'!$C:$X,22,FALSE)," - ",VLOOKUP(D16,'Tournament Details'!$C:$Y,23,FALSE)," - ",VLOOKUP(D16,'Tournament Details'!$C:$Z,24,FALSE)),""))</f>
        <v/>
      </c>
    </row>
    <row r="17" spans="1:27" ht="15" customHeight="1" thickBot="1" x14ac:dyDescent="0.35">
      <c r="A17" s="224" t="str">
        <f>IF('Tournament Details'!A1&gt;=1,IF(LARGE('Tournament Details'!C7:C86,1)&gt;=16,8,""),"")</f>
        <v/>
      </c>
      <c r="B17" s="42">
        <f t="shared" si="0"/>
        <v>0</v>
      </c>
      <c r="C17" s="44" t="str">
        <f t="shared" si="1"/>
        <v/>
      </c>
      <c r="D17" s="66" t="str">
        <f>IF('Tournament Details'!A1&gt;=1,IF('Tournament Details'!C21&lt;=LARGE('Round 3'!$C:$C,1),VLOOKUP(SMALL('Round 3'!$C:$C,15),'Round 3'!$C:$D,2,FALSE),""),"")</f>
        <v/>
      </c>
      <c r="E17" s="44" t="str">
        <f>IF(D17="","",B17+VLOOKUP(D17,'Round 3'!$D:$E,2,FALSE))</f>
        <v/>
      </c>
      <c r="F17" s="44" t="str">
        <f>IF(D17="","",(LARGE('Tournament Details'!$C:$C,1)+1-D17)+E17)</f>
        <v/>
      </c>
      <c r="G17" s="23" t="str">
        <f>D18</f>
        <v/>
      </c>
      <c r="H17" s="25" t="str">
        <f>IF(D17="","",IF(VLOOKUP(D17,'Tournament Details'!$C:$G,5,FALSE)="",D17,VLOOKUP(D17,'Tournament Details'!$C:$G,5,FALSE)))</f>
        <v/>
      </c>
      <c r="I17" s="7" t="str">
        <f>IF(D17=0,"",IF(VLOOKUP(D17,'Tournament Details'!$C:$E,3,FALSE)&gt;0,VLOOKUP(D17,'Tournament Details'!$C:$E,3,FALSE),""))</f>
        <v/>
      </c>
      <c r="J17" s="127"/>
      <c r="K17" s="127"/>
      <c r="L17" s="23"/>
      <c r="M17" s="23"/>
      <c r="N17" s="23"/>
      <c r="O17" s="23"/>
      <c r="P17" s="190">
        <v>0</v>
      </c>
      <c r="Q17" s="183">
        <f t="shared" si="2"/>
        <v>0</v>
      </c>
      <c r="R17" s="135" t="str">
        <f t="shared" si="3"/>
        <v/>
      </c>
      <c r="S17" s="135" t="str">
        <f>IF(Q17="","",IF(Q17+Q18&lt;&gt;20,IF(Q17+Q18&lt;&gt;0,"!",""),""))</f>
        <v/>
      </c>
      <c r="T17" s="21" t="str">
        <f t="shared" si="4"/>
        <v/>
      </c>
      <c r="U17" s="132">
        <f>IF(D17="",0,VLOOKUP(D17,'Tournament Details'!$C:$X,22,FALSE))</f>
        <v>0</v>
      </c>
      <c r="V17" s="132">
        <f>IF(D17="",0,VLOOKUP(D17,'Tournament Details'!$C:$Y,23,FALSE))</f>
        <v>0</v>
      </c>
      <c r="W17" s="132">
        <f>IF(D17="",0,VLOOKUP(D17,'Tournament Details'!$C:$Z,24,FALSE))</f>
        <v>0</v>
      </c>
      <c r="X17" s="132">
        <f>IF(D17="",0,VLOOKUP(D17,'Tournament Details'!$C:$AA,25,FALSE))</f>
        <v>0</v>
      </c>
      <c r="Y17" s="40" t="str">
        <f>IF(D17="","",IF(COUNTIF(D:D,D17)&gt;1,"DUPLICATE PLAYER",IF(D18="","NO OPPONENT",IF(D18=U17,"REPEAT MATCHUP",IF(D18=V17,"REPEAT MATCHUP",IF(D18=W17,"REPEAT MATCHUP",IF(H17=H18,"SAME TEAM","")))))))</f>
        <v/>
      </c>
      <c r="Z17" s="40"/>
      <c r="AA17" t="str">
        <f>IF(Y17="NO OPPONENT","",IF(Y17&lt;&gt;"",CONCATENATE("Previous Matchup Player #: ",VLOOKUP(D17,'Tournament Details'!$C:$X,22,FALSE)," - ",VLOOKUP(D17,'Tournament Details'!$C:$Y,23,FALSE)," - ",VLOOKUP(D17,'Tournament Details'!$C:$Z,24,FALSE)),""))</f>
        <v/>
      </c>
    </row>
    <row r="18" spans="1:27" ht="15" customHeight="1" thickBot="1" x14ac:dyDescent="0.35">
      <c r="A18" s="224"/>
      <c r="B18" s="43">
        <f t="shared" si="0"/>
        <v>0</v>
      </c>
      <c r="C18" s="44" t="str">
        <f t="shared" si="1"/>
        <v/>
      </c>
      <c r="D18" s="74" t="str">
        <f>IF('Tournament Details'!A1&gt;=1,IF('Tournament Details'!C22&lt;=LARGE('Round 3'!$C:$C,1),VLOOKUP(SMALL('Round 3'!$C:$C,16),'Round 3'!$C:$D,2,FALSE),""),"")</f>
        <v/>
      </c>
      <c r="E18" s="44" t="str">
        <f>IF(D18="","",B18+VLOOKUP(D18,'Round 3'!$D:$E,2,FALSE))</f>
        <v/>
      </c>
      <c r="F18" s="44" t="str">
        <f>IF(D18="","",(LARGE('Tournament Details'!$C:$C,1)+1-D18)+E18)</f>
        <v/>
      </c>
      <c r="G18" s="24" t="str">
        <f>D17</f>
        <v/>
      </c>
      <c r="H18" s="26" t="str">
        <f>IF(D18="","",IF(VLOOKUP(D18,'Tournament Details'!$C:$G,5,FALSE)="",D18,VLOOKUP(D18,'Tournament Details'!$C:$G,5,FALSE)))</f>
        <v/>
      </c>
      <c r="I18" s="12" t="str">
        <f>IF(D18=0,"",IF(VLOOKUP(D18,'Tournament Details'!$C:$E,3,FALSE)&gt;0,VLOOKUP(D18,'Tournament Details'!$C:$E,3,FALSE),""))</f>
        <v/>
      </c>
      <c r="J18" s="128"/>
      <c r="K18" s="128"/>
      <c r="L18" s="23"/>
      <c r="M18" s="24"/>
      <c r="N18" s="24"/>
      <c r="O18" s="24"/>
      <c r="P18" s="191">
        <v>0</v>
      </c>
      <c r="Q18" s="183">
        <f t="shared" si="2"/>
        <v>0</v>
      </c>
      <c r="R18" s="135" t="str">
        <f t="shared" si="3"/>
        <v/>
      </c>
      <c r="S18" s="135" t="str">
        <f>IF(Q18="","",IF(Q17+Q18&lt;&gt;20,IF(Q17+Q18&lt;&gt;0,"!",""),""))</f>
        <v/>
      </c>
      <c r="T18" s="21" t="str">
        <f t="shared" si="4"/>
        <v/>
      </c>
      <c r="U18" s="132">
        <f>IF(D18="",0,VLOOKUP(D18,'Tournament Details'!$C:$X,22,FALSE))</f>
        <v>0</v>
      </c>
      <c r="V18" s="132">
        <f>IF(D18="",0,VLOOKUP(D18,'Tournament Details'!$C:$Y,23,FALSE))</f>
        <v>0</v>
      </c>
      <c r="W18" s="132">
        <f>IF(D18="",0,VLOOKUP(D18,'Tournament Details'!$C:$Z,24,FALSE))</f>
        <v>0</v>
      </c>
      <c r="X18" s="132">
        <f>IF(D18="",0,VLOOKUP(D18,'Tournament Details'!$C:$AA,25,FALSE))</f>
        <v>0</v>
      </c>
      <c r="Y18" s="40" t="str">
        <f>IF(D18="","",IF(COUNTIF(D:D,D18)&gt;1,"DUPLICATE PLAYER",IF(D17="","NO OPPONENT",IF(D17=U18,"REPEAT MATCHUP",IF(D17=V18,"REPEAT MATCHUP",IF(D17=W18,"REPEAT MATCHUP",IF(H18=H17,"SAME TEAM","")))))))</f>
        <v/>
      </c>
      <c r="Z18" s="40"/>
      <c r="AA18" t="str">
        <f>IF(Y18="NO OPPONENT","",IF(Y18&lt;&gt;"",CONCATENATE("Previous Matchup Player #: ",VLOOKUP(D18,'Tournament Details'!$C:$X,22,FALSE)," - ",VLOOKUP(D18,'Tournament Details'!$C:$Y,23,FALSE)," - ",VLOOKUP(D18,'Tournament Details'!$C:$Z,24,FALSE)),""))</f>
        <v/>
      </c>
    </row>
    <row r="19" spans="1:27" ht="15" customHeight="1" thickBot="1" x14ac:dyDescent="0.35">
      <c r="A19" s="224" t="str">
        <f>IF('Tournament Details'!A1&gt;=1,IF(LARGE('Tournament Details'!C7:C86,1)&gt;=18,9,""),"")</f>
        <v/>
      </c>
      <c r="B19" s="42">
        <f t="shared" si="0"/>
        <v>0</v>
      </c>
      <c r="C19" s="44" t="str">
        <f t="shared" si="1"/>
        <v/>
      </c>
      <c r="D19" s="66" t="str">
        <f>IF('Tournament Details'!A1&gt;=1,IF('Tournament Details'!C23&lt;=LARGE('Round 3'!$C:$C,1),VLOOKUP(SMALL('Round 3'!$C:$C,17),'Round 3'!$C:$D,2,FALSE),""),"")</f>
        <v/>
      </c>
      <c r="E19" s="44" t="str">
        <f>IF(D19="","",B19+VLOOKUP(D19,'Round 3'!$D:$E,2,FALSE))</f>
        <v/>
      </c>
      <c r="F19" s="44" t="str">
        <f>IF(D19="","",(LARGE('Tournament Details'!$C:$C,1)+1-D19)+E19)</f>
        <v/>
      </c>
      <c r="G19" s="23" t="str">
        <f>D20</f>
        <v/>
      </c>
      <c r="H19" s="25" t="str">
        <f>IF(D19="","",IF(VLOOKUP(D19,'Tournament Details'!$C:$G,5,FALSE)="",D19,VLOOKUP(D19,'Tournament Details'!$C:$G,5,FALSE)))</f>
        <v/>
      </c>
      <c r="I19" s="7" t="str">
        <f>IF(D19=0,"",IF(VLOOKUP(D19,'Tournament Details'!$C:$E,3,FALSE)&gt;0,VLOOKUP(D19,'Tournament Details'!$C:$E,3,FALSE),""))</f>
        <v/>
      </c>
      <c r="J19" s="127"/>
      <c r="K19" s="127"/>
      <c r="L19" s="23"/>
      <c r="M19" s="23"/>
      <c r="N19" s="23"/>
      <c r="O19" s="23"/>
      <c r="P19" s="190">
        <v>0</v>
      </c>
      <c r="Q19" s="183">
        <f t="shared" si="2"/>
        <v>0</v>
      </c>
      <c r="R19" s="135" t="str">
        <f t="shared" si="3"/>
        <v/>
      </c>
      <c r="S19" s="135" t="str">
        <f>IF(Q19="","",IF(Q19+Q20&lt;&gt;20,IF(Q19+Q20&lt;&gt;0,"!",""),""))</f>
        <v/>
      </c>
      <c r="T19" s="21" t="str">
        <f t="shared" si="4"/>
        <v/>
      </c>
      <c r="U19" s="132">
        <f>IF(D19="",0,VLOOKUP(D19,'Tournament Details'!$C:$X,22,FALSE))</f>
        <v>0</v>
      </c>
      <c r="V19" s="132">
        <f>IF(D19="",0,VLOOKUP(D19,'Tournament Details'!$C:$Y,23,FALSE))</f>
        <v>0</v>
      </c>
      <c r="W19" s="132">
        <f>IF(D19="",0,VLOOKUP(D19,'Tournament Details'!$C:$Z,24,FALSE))</f>
        <v>0</v>
      </c>
      <c r="X19" s="132">
        <f>IF(D19="",0,VLOOKUP(D19,'Tournament Details'!$C:$AA,25,FALSE))</f>
        <v>0</v>
      </c>
      <c r="Y19" s="40" t="str">
        <f>IF(D19="","",IF(COUNTIF(D:D,D19)&gt;1,"DUPLICATE PLAYER",IF(D20="","NO OPPONENT",IF(D20=U19,"REPEAT MATCHUP",IF(D20=V19,"REPEAT MATCHUP",IF(D20=W19,"REPEAT MATCHUP",IF(H19=H20,"SAME TEAM","")))))))</f>
        <v/>
      </c>
      <c r="Z19" s="40"/>
      <c r="AA19" t="str">
        <f>IF(Y19="NO OPPONENT","",IF(Y19&lt;&gt;"",CONCATENATE("Previous Matchup Player #: ",VLOOKUP(D19,'Tournament Details'!$C:$X,22,FALSE)," - ",VLOOKUP(D19,'Tournament Details'!$C:$Y,23,FALSE)," - ",VLOOKUP(D19,'Tournament Details'!$C:$Z,24,FALSE)),""))</f>
        <v/>
      </c>
    </row>
    <row r="20" spans="1:27" ht="15" customHeight="1" thickBot="1" x14ac:dyDescent="0.35">
      <c r="A20" s="224"/>
      <c r="B20" s="43">
        <f t="shared" si="0"/>
        <v>0</v>
      </c>
      <c r="C20" s="44" t="str">
        <f t="shared" si="1"/>
        <v/>
      </c>
      <c r="D20" s="74" t="str">
        <f>IF('Tournament Details'!A1&gt;=1,IF('Tournament Details'!C24&lt;=LARGE('Round 3'!$C:$C,1),VLOOKUP(SMALL('Round 3'!$C:$C,18),'Round 3'!$C:$D,2,FALSE),""),"")</f>
        <v/>
      </c>
      <c r="E20" s="44" t="str">
        <f>IF(D20="","",B20+VLOOKUP(D20,'Round 3'!$D:$E,2,FALSE))</f>
        <v/>
      </c>
      <c r="F20" s="44" t="str">
        <f>IF(D20="","",(LARGE('Tournament Details'!$C:$C,1)+1-D20)+E20)</f>
        <v/>
      </c>
      <c r="G20" s="24" t="str">
        <f>D19</f>
        <v/>
      </c>
      <c r="H20" s="26" t="str">
        <f>IF(D20="","",IF(VLOOKUP(D20,'Tournament Details'!$C:$G,5,FALSE)="",D20,VLOOKUP(D20,'Tournament Details'!$C:$G,5,FALSE)))</f>
        <v/>
      </c>
      <c r="I20" s="12" t="str">
        <f>IF(D20=0,"",IF(VLOOKUP(D20,'Tournament Details'!$C:$E,3,FALSE)&gt;0,VLOOKUP(D20,'Tournament Details'!$C:$E,3,FALSE),""))</f>
        <v/>
      </c>
      <c r="J20" s="128"/>
      <c r="K20" s="128"/>
      <c r="L20" s="23"/>
      <c r="M20" s="24"/>
      <c r="N20" s="24"/>
      <c r="O20" s="24"/>
      <c r="P20" s="191">
        <v>0</v>
      </c>
      <c r="Q20" s="183">
        <f t="shared" si="2"/>
        <v>0</v>
      </c>
      <c r="R20" s="135" t="str">
        <f t="shared" si="3"/>
        <v/>
      </c>
      <c r="S20" s="135" t="str">
        <f>IF(Q20="","",IF(Q19+Q20&lt;&gt;20,IF(Q19+Q20&lt;&gt;0,"!",""),""))</f>
        <v/>
      </c>
      <c r="T20" s="21" t="str">
        <f t="shared" si="4"/>
        <v/>
      </c>
      <c r="U20" s="132">
        <f>IF(D20="",0,VLOOKUP(D20,'Tournament Details'!$C:$X,22,FALSE))</f>
        <v>0</v>
      </c>
      <c r="V20" s="132">
        <f>IF(D20="",0,VLOOKUP(D20,'Tournament Details'!$C:$Y,23,FALSE))</f>
        <v>0</v>
      </c>
      <c r="W20" s="132">
        <f>IF(D20="",0,VLOOKUP(D20,'Tournament Details'!$C:$Z,24,FALSE))</f>
        <v>0</v>
      </c>
      <c r="X20" s="132">
        <f>IF(D20="",0,VLOOKUP(D20,'Tournament Details'!$C:$AA,25,FALSE))</f>
        <v>0</v>
      </c>
      <c r="Y20" s="40" t="str">
        <f>IF(D20="","",IF(COUNTIF(D:D,D20)&gt;1,"DUPLICATE PLAYER",IF(D19="","NO OPPONENT",IF(D19=U20,"REPEAT MATCHUP",IF(D19=V20,"REPEAT MATCHUP",IF(D19=W20,"REPEAT MATCHUP",IF(H20=H19,"SAME TEAM","")))))))</f>
        <v/>
      </c>
      <c r="Z20" s="40"/>
      <c r="AA20" t="str">
        <f>IF(Y20="NO OPPONENT","",IF(Y20&lt;&gt;"",CONCATENATE("Previous Matchup Player #: ",VLOOKUP(D20,'Tournament Details'!$C:$X,22,FALSE)," - ",VLOOKUP(D20,'Tournament Details'!$C:$Y,23,FALSE)," - ",VLOOKUP(D20,'Tournament Details'!$C:$Z,24,FALSE)),""))</f>
        <v/>
      </c>
    </row>
    <row r="21" spans="1:27" ht="15" customHeight="1" thickBot="1" x14ac:dyDescent="0.35">
      <c r="A21" s="224" t="str">
        <f>IF('Tournament Details'!A1&gt;=1,IF(LARGE('Tournament Details'!C7:C86,1)&gt;=20,10,""),"")</f>
        <v/>
      </c>
      <c r="B21" s="42">
        <f t="shared" si="0"/>
        <v>0</v>
      </c>
      <c r="C21" s="44" t="str">
        <f t="shared" si="1"/>
        <v/>
      </c>
      <c r="D21" s="66" t="str">
        <f>IF('Tournament Details'!A1&gt;=1,IF('Tournament Details'!C25&lt;=LARGE('Round 3'!$C:$C,1),VLOOKUP(SMALL('Round 3'!$C:$C,19),'Round 3'!$C:$D,2,FALSE),""),"")</f>
        <v/>
      </c>
      <c r="E21" s="44" t="str">
        <f>IF(D21="","",B21+VLOOKUP(D21,'Round 3'!$D:$E,2,FALSE))</f>
        <v/>
      </c>
      <c r="F21" s="44" t="str">
        <f>IF(D21="","",(LARGE('Tournament Details'!$C:$C,1)+1-D21)+E21)</f>
        <v/>
      </c>
      <c r="G21" s="23" t="str">
        <f>D22</f>
        <v/>
      </c>
      <c r="H21" s="25" t="str">
        <f>IF(D21="","",IF(VLOOKUP(D21,'Tournament Details'!$C:$G,5,FALSE)="",D21,VLOOKUP(D21,'Tournament Details'!$C:$G,5,FALSE)))</f>
        <v/>
      </c>
      <c r="I21" s="7" t="str">
        <f>IF(D21=0,"",IF(VLOOKUP(D21,'Tournament Details'!$C:$E,3,FALSE)&gt;0,VLOOKUP(D21,'Tournament Details'!$C:$E,3,FALSE),""))</f>
        <v/>
      </c>
      <c r="J21" s="127"/>
      <c r="K21" s="127"/>
      <c r="L21" s="23"/>
      <c r="M21" s="23"/>
      <c r="N21" s="23"/>
      <c r="O21" s="23"/>
      <c r="P21" s="190">
        <v>0</v>
      </c>
      <c r="Q21" s="183">
        <f t="shared" si="2"/>
        <v>0</v>
      </c>
      <c r="R21" s="135" t="str">
        <f t="shared" si="3"/>
        <v/>
      </c>
      <c r="S21" s="135" t="str">
        <f>IF(Q21="","",IF(Q21+Q22&lt;&gt;20,IF(Q21+Q22&lt;&gt;0,"!",""),""))</f>
        <v/>
      </c>
      <c r="T21" s="21" t="str">
        <f t="shared" si="4"/>
        <v/>
      </c>
      <c r="U21" s="132">
        <f>IF(D21="",0,VLOOKUP(D21,'Tournament Details'!$C:$X,22,FALSE))</f>
        <v>0</v>
      </c>
      <c r="V21" s="132">
        <f>IF(D21="",0,VLOOKUP(D21,'Tournament Details'!$C:$Y,23,FALSE))</f>
        <v>0</v>
      </c>
      <c r="W21" s="132">
        <f>IF(D21="",0,VLOOKUP(D21,'Tournament Details'!$C:$Z,24,FALSE))</f>
        <v>0</v>
      </c>
      <c r="X21" s="132">
        <f>IF(D21="",0,VLOOKUP(D21,'Tournament Details'!$C:$AA,25,FALSE))</f>
        <v>0</v>
      </c>
      <c r="Y21" s="40" t="str">
        <f>IF(D21="","",IF(COUNTIF(D:D,D21)&gt;1,"DUPLICATE PLAYER",IF(D22="","NO OPPONENT",IF(D22=U21,"REPEAT MATCHUP",IF(D22=V21,"REPEAT MATCHUP",IF(D22=W21,"REPEAT MATCHUP",IF(H21=H22,"SAME TEAM","")))))))</f>
        <v/>
      </c>
      <c r="Z21" s="40"/>
      <c r="AA21" t="str">
        <f>IF(Y21="NO OPPONENT","",IF(Y21&lt;&gt;"",CONCATENATE("Previous Matchup Player #: ",VLOOKUP(D21,'Tournament Details'!$C:$X,22,FALSE)," - ",VLOOKUP(D21,'Tournament Details'!$C:$Y,23,FALSE)," - ",VLOOKUP(D21,'Tournament Details'!$C:$Z,24,FALSE)),""))</f>
        <v/>
      </c>
    </row>
    <row r="22" spans="1:27" ht="15" customHeight="1" thickBot="1" x14ac:dyDescent="0.35">
      <c r="A22" s="224"/>
      <c r="B22" s="43">
        <f t="shared" si="0"/>
        <v>0</v>
      </c>
      <c r="C22" s="44" t="str">
        <f t="shared" si="1"/>
        <v/>
      </c>
      <c r="D22" s="74" t="str">
        <f>IF('Tournament Details'!A1&gt;=1,IF('Tournament Details'!C26&lt;=LARGE('Round 3'!$C:$C,1),VLOOKUP(SMALL('Round 3'!$C:$C,20),'Round 3'!$C:$D,2,FALSE),""),"")</f>
        <v/>
      </c>
      <c r="E22" s="44" t="str">
        <f>IF(D22="","",B22+VLOOKUP(D22,'Round 3'!$D:$E,2,FALSE))</f>
        <v/>
      </c>
      <c r="F22" s="44" t="str">
        <f>IF(D22="","",(LARGE('Tournament Details'!$C:$C,1)+1-D22)+E22)</f>
        <v/>
      </c>
      <c r="G22" s="24" t="str">
        <f>D21</f>
        <v/>
      </c>
      <c r="H22" s="26" t="str">
        <f>IF(D22="","",IF(VLOOKUP(D22,'Tournament Details'!$C:$G,5,FALSE)="",D22,VLOOKUP(D22,'Tournament Details'!$C:$G,5,FALSE)))</f>
        <v/>
      </c>
      <c r="I22" s="12" t="str">
        <f>IF(D22=0,"",IF(VLOOKUP(D22,'Tournament Details'!$C:$E,3,FALSE)&gt;0,VLOOKUP(D22,'Tournament Details'!$C:$E,3,FALSE),""))</f>
        <v/>
      </c>
      <c r="J22" s="128"/>
      <c r="K22" s="128"/>
      <c r="L22" s="23"/>
      <c r="M22" s="24"/>
      <c r="N22" s="24"/>
      <c r="O22" s="24"/>
      <c r="P22" s="191">
        <v>0</v>
      </c>
      <c r="Q22" s="183">
        <f t="shared" si="2"/>
        <v>0</v>
      </c>
      <c r="R22" s="135" t="str">
        <f t="shared" si="3"/>
        <v/>
      </c>
      <c r="S22" s="135" t="str">
        <f>IF(Q22="","",IF(Q21+Q22&lt;&gt;20,IF(Q21+Q22&lt;&gt;0,"!",""),""))</f>
        <v/>
      </c>
      <c r="T22" s="21" t="str">
        <f t="shared" si="4"/>
        <v/>
      </c>
      <c r="U22" s="132">
        <f>IF(D22="",0,VLOOKUP(D22,'Tournament Details'!$C:$X,22,FALSE))</f>
        <v>0</v>
      </c>
      <c r="V22" s="132">
        <f>IF(D22="",0,VLOOKUP(D22,'Tournament Details'!$C:$Y,23,FALSE))</f>
        <v>0</v>
      </c>
      <c r="W22" s="132">
        <f>IF(D22="",0,VLOOKUP(D22,'Tournament Details'!$C:$Z,24,FALSE))</f>
        <v>0</v>
      </c>
      <c r="X22" s="132">
        <f>IF(D22="",0,VLOOKUP(D22,'Tournament Details'!$C:$AA,25,FALSE))</f>
        <v>0</v>
      </c>
      <c r="Y22" s="40" t="str">
        <f>IF(D22="","",IF(COUNTIF(D:D,D22)&gt;1,"DUPLICATE PLAYER",IF(D21="","NO OPPONENT",IF(D21=U22,"REPEAT MATCHUP",IF(D21=V22,"REPEAT MATCHUP",IF(D21=W22,"REPEAT MATCHUP",IF(H22=H21,"SAME TEAM","")))))))</f>
        <v/>
      </c>
      <c r="Z22" s="40"/>
      <c r="AA22" t="str">
        <f>IF(Y22="NO OPPONENT","",IF(Y22&lt;&gt;"",CONCATENATE("Previous Matchup Player #: ",VLOOKUP(D22,'Tournament Details'!$C:$X,22,FALSE)," - ",VLOOKUP(D22,'Tournament Details'!$C:$Y,23,FALSE)," - ",VLOOKUP(D22,'Tournament Details'!$C:$Z,24,FALSE)),""))</f>
        <v/>
      </c>
    </row>
    <row r="23" spans="1:27" ht="15" customHeight="1" thickBot="1" x14ac:dyDescent="0.35">
      <c r="A23" s="224" t="str">
        <f>IF('Tournament Details'!A1&gt;=1,IF(LARGE('Tournament Details'!C7:C86,1)&gt;=22,11,""),"")</f>
        <v/>
      </c>
      <c r="B23" s="42">
        <f t="shared" si="0"/>
        <v>0</v>
      </c>
      <c r="C23" s="44" t="str">
        <f t="shared" si="1"/>
        <v/>
      </c>
      <c r="D23" s="66" t="str">
        <f>IF('Tournament Details'!A1&gt;=1,IF('Tournament Details'!C27&lt;=LARGE('Round 3'!$C:$C,1),VLOOKUP(SMALL('Round 3'!$C:$C,21),'Round 3'!$C:$D,2,FALSE),""),"")</f>
        <v/>
      </c>
      <c r="E23" s="44" t="str">
        <f>IF(D23="","",B23+VLOOKUP(D23,'Round 3'!$D:$E,2,FALSE))</f>
        <v/>
      </c>
      <c r="F23" s="44" t="str">
        <f>IF(D23="","",(LARGE('Tournament Details'!$C:$C,1)+1-D23)+E23)</f>
        <v/>
      </c>
      <c r="G23" s="23" t="str">
        <f>D24</f>
        <v/>
      </c>
      <c r="H23" s="25" t="str">
        <f>IF(D23="","",IF(VLOOKUP(D23,'Tournament Details'!$C:$G,5,FALSE)="",D23,VLOOKUP(D23,'Tournament Details'!$C:$G,5,FALSE)))</f>
        <v/>
      </c>
      <c r="I23" s="7" t="str">
        <f>IF(D23=0,"",IF(VLOOKUP(D23,'Tournament Details'!$C:$E,3,FALSE)&gt;0,VLOOKUP(D23,'Tournament Details'!$C:$E,3,FALSE),""))</f>
        <v/>
      </c>
      <c r="J23" s="127"/>
      <c r="K23" s="127"/>
      <c r="L23" s="23"/>
      <c r="M23" s="23"/>
      <c r="N23" s="23"/>
      <c r="O23" s="23"/>
      <c r="P23" s="190">
        <v>0</v>
      </c>
      <c r="Q23" s="183">
        <f t="shared" si="2"/>
        <v>0</v>
      </c>
      <c r="R23" s="135" t="str">
        <f t="shared" si="3"/>
        <v/>
      </c>
      <c r="S23" s="135" t="str">
        <f>IF(Q23="","",IF(Q23+Q24&lt;&gt;20,IF(Q23+Q24&lt;&gt;0,"!",""),""))</f>
        <v/>
      </c>
      <c r="T23" s="21" t="str">
        <f t="shared" si="4"/>
        <v/>
      </c>
      <c r="U23" s="132">
        <f>IF(D23="",0,VLOOKUP(D23,'Tournament Details'!$C:$X,22,FALSE))</f>
        <v>0</v>
      </c>
      <c r="V23" s="132">
        <f>IF(D23="",0,VLOOKUP(D23,'Tournament Details'!$C:$Y,23,FALSE))</f>
        <v>0</v>
      </c>
      <c r="W23" s="132">
        <f>IF(D23="",0,VLOOKUP(D23,'Tournament Details'!$C:$Z,24,FALSE))</f>
        <v>0</v>
      </c>
      <c r="X23" s="132">
        <f>IF(D23="",0,VLOOKUP(D23,'Tournament Details'!$C:$AA,25,FALSE))</f>
        <v>0</v>
      </c>
      <c r="Y23" s="40" t="str">
        <f>IF(D23="","",IF(COUNTIF(D:D,D23)&gt;1,"DUPLICATE PLAYER",IF(D24="","NO OPPONENT",IF(D24=U23,"REPEAT MATCHUP",IF(D24=V23,"REPEAT MATCHUP",IF(D24=W23,"REPEAT MATCHUP",IF(H23=H24,"SAME TEAM","")))))))</f>
        <v/>
      </c>
      <c r="Z23" s="40"/>
      <c r="AA23" t="str">
        <f>IF(Y23="NO OPPONENT","",IF(Y23&lt;&gt;"",CONCATENATE("Previous Matchup Player #: ",VLOOKUP(D23,'Tournament Details'!$C:$X,22,FALSE)," - ",VLOOKUP(D23,'Tournament Details'!$C:$Y,23,FALSE)," - ",VLOOKUP(D23,'Tournament Details'!$C:$Z,24,FALSE)),""))</f>
        <v/>
      </c>
    </row>
    <row r="24" spans="1:27" ht="15" customHeight="1" thickBot="1" x14ac:dyDescent="0.35">
      <c r="A24" s="224"/>
      <c r="B24" s="43">
        <f t="shared" si="0"/>
        <v>0</v>
      </c>
      <c r="C24" s="44" t="str">
        <f t="shared" si="1"/>
        <v/>
      </c>
      <c r="D24" s="74" t="str">
        <f>IF('Tournament Details'!A1&gt;=1,IF('Tournament Details'!C28&lt;=LARGE('Round 3'!$C:$C,1),VLOOKUP(SMALL('Round 3'!$C:$C,22),'Round 3'!$C:$D,2,FALSE),""),"")</f>
        <v/>
      </c>
      <c r="E24" s="44" t="str">
        <f>IF(D24="","",B24+VLOOKUP(D24,'Round 3'!$D:$E,2,FALSE))</f>
        <v/>
      </c>
      <c r="F24" s="44" t="str">
        <f>IF(D24="","",(LARGE('Tournament Details'!$C:$C,1)+1-D24)+E24)</f>
        <v/>
      </c>
      <c r="G24" s="24" t="str">
        <f>D23</f>
        <v/>
      </c>
      <c r="H24" s="26" t="str">
        <f>IF(D24="","",IF(VLOOKUP(D24,'Tournament Details'!$C:$G,5,FALSE)="",D24,VLOOKUP(D24,'Tournament Details'!$C:$G,5,FALSE)))</f>
        <v/>
      </c>
      <c r="I24" s="12" t="str">
        <f>IF(D24=0,"",IF(VLOOKUP(D24,'Tournament Details'!$C:$E,3,FALSE)&gt;0,VLOOKUP(D24,'Tournament Details'!$C:$E,3,FALSE),""))</f>
        <v/>
      </c>
      <c r="J24" s="128"/>
      <c r="K24" s="128"/>
      <c r="L24" s="23"/>
      <c r="M24" s="24"/>
      <c r="N24" s="24"/>
      <c r="O24" s="24"/>
      <c r="P24" s="191">
        <v>0</v>
      </c>
      <c r="Q24" s="183">
        <f t="shared" si="2"/>
        <v>0</v>
      </c>
      <c r="R24" s="135" t="str">
        <f t="shared" si="3"/>
        <v/>
      </c>
      <c r="S24" s="135" t="str">
        <f>IF(Q24="","",IF(Q23+Q24&lt;&gt;20,IF(Q23+Q24&lt;&gt;0,"!",""),""))</f>
        <v/>
      </c>
      <c r="T24" s="21" t="str">
        <f t="shared" si="4"/>
        <v/>
      </c>
      <c r="U24" s="132">
        <f>IF(D24="",0,VLOOKUP(D24,'Tournament Details'!$C:$X,22,FALSE))</f>
        <v>0</v>
      </c>
      <c r="V24" s="132">
        <f>IF(D24="",0,VLOOKUP(D24,'Tournament Details'!$C:$Y,23,FALSE))</f>
        <v>0</v>
      </c>
      <c r="W24" s="132">
        <f>IF(D24="",0,VLOOKUP(D24,'Tournament Details'!$C:$Z,24,FALSE))</f>
        <v>0</v>
      </c>
      <c r="X24" s="132">
        <f>IF(D24="",0,VLOOKUP(D24,'Tournament Details'!$C:$AA,25,FALSE))</f>
        <v>0</v>
      </c>
      <c r="Y24" s="40" t="str">
        <f>IF(D24="","",IF(COUNTIF(D:D,D24)&gt;1,"DUPLICATE PLAYER",IF(D23="","NO OPPONENT",IF(D23=U24,"REPEAT MATCHUP",IF(D23=V24,"REPEAT MATCHUP",IF(D23=W24,"REPEAT MATCHUP",IF(H24=H23,"SAME TEAM","")))))))</f>
        <v/>
      </c>
      <c r="Z24" s="40"/>
      <c r="AA24" t="str">
        <f>IF(Y24="NO OPPONENT","",IF(Y24&lt;&gt;"",CONCATENATE("Previous Matchup Player #: ",VLOOKUP(D24,'Tournament Details'!$C:$X,22,FALSE)," - ",VLOOKUP(D24,'Tournament Details'!$C:$Y,23,FALSE)," - ",VLOOKUP(D24,'Tournament Details'!$C:$Z,24,FALSE)),""))</f>
        <v/>
      </c>
    </row>
    <row r="25" spans="1:27" ht="15" customHeight="1" thickBot="1" x14ac:dyDescent="0.35">
      <c r="A25" s="224" t="str">
        <f>IF('Tournament Details'!A1&gt;=1,IF(LARGE('Tournament Details'!C7:C86,1)&gt;=24,12,""),"")</f>
        <v/>
      </c>
      <c r="B25" s="42">
        <f t="shared" si="0"/>
        <v>0</v>
      </c>
      <c r="C25" s="44" t="str">
        <f t="shared" si="1"/>
        <v/>
      </c>
      <c r="D25" s="66" t="str">
        <f>IF('Tournament Details'!A1&gt;=1,IF('Tournament Details'!C29&lt;=LARGE('Round 3'!$C:$C,1),VLOOKUP(SMALL('Round 3'!$C:$C,23),'Round 3'!$C:$D,2,FALSE),""),"")</f>
        <v/>
      </c>
      <c r="E25" s="44" t="str">
        <f>IF(D25="","",B25+VLOOKUP(D25,'Round 3'!$D:$E,2,FALSE))</f>
        <v/>
      </c>
      <c r="F25" s="44" t="str">
        <f>IF(D25="","",(LARGE('Tournament Details'!$C:$C,1)+1-D25)+E25)</f>
        <v/>
      </c>
      <c r="G25" s="23" t="str">
        <f>D26</f>
        <v/>
      </c>
      <c r="H25" s="25" t="str">
        <f>IF(D25="","",IF(VLOOKUP(D25,'Tournament Details'!$C:$G,5,FALSE)="",D25,VLOOKUP(D25,'Tournament Details'!$C:$G,5,FALSE)))</f>
        <v/>
      </c>
      <c r="I25" s="7" t="str">
        <f>IF(D25=0,"",IF(VLOOKUP(D25,'Tournament Details'!$C:$E,3,FALSE)&gt;0,VLOOKUP(D25,'Tournament Details'!$C:$E,3,FALSE),""))</f>
        <v/>
      </c>
      <c r="J25" s="127"/>
      <c r="K25" s="127"/>
      <c r="L25" s="23"/>
      <c r="M25" s="23"/>
      <c r="N25" s="23"/>
      <c r="O25" s="23"/>
      <c r="P25" s="190">
        <v>0</v>
      </c>
      <c r="Q25" s="183">
        <f t="shared" si="2"/>
        <v>0</v>
      </c>
      <c r="R25" s="135" t="str">
        <f t="shared" si="3"/>
        <v/>
      </c>
      <c r="S25" s="135" t="str">
        <f>IF(Q25="","",IF(Q25+Q26&lt;&gt;20,IF(Q25+Q26&lt;&gt;0,"!",""),""))</f>
        <v/>
      </c>
      <c r="T25" s="21" t="str">
        <f t="shared" si="4"/>
        <v/>
      </c>
      <c r="U25" s="132">
        <f>IF(D25="",0,VLOOKUP(D25,'Tournament Details'!$C:$X,22,FALSE))</f>
        <v>0</v>
      </c>
      <c r="V25" s="132">
        <f>IF(D25="",0,VLOOKUP(D25,'Tournament Details'!$C:$Y,23,FALSE))</f>
        <v>0</v>
      </c>
      <c r="W25" s="132">
        <f>IF(D25="",0,VLOOKUP(D25,'Tournament Details'!$C:$Z,24,FALSE))</f>
        <v>0</v>
      </c>
      <c r="X25" s="132">
        <f>IF(D25="",0,VLOOKUP(D25,'Tournament Details'!$C:$AA,25,FALSE))</f>
        <v>0</v>
      </c>
      <c r="Y25" s="40" t="str">
        <f>IF(D25="","",IF(COUNTIF(D:D,D25)&gt;1,"DUPLICATE PLAYER",IF(D26="","NO OPPONENT",IF(D26=U25,"REPEAT MATCHUP",IF(D26=V25,"REPEAT MATCHUP",IF(D26=W25,"REPEAT MATCHUP",IF(H25=H26,"SAME TEAM","")))))))</f>
        <v/>
      </c>
      <c r="Z25" s="40"/>
      <c r="AA25" t="str">
        <f>IF(Y25="NO OPPONENT","",IF(Y25&lt;&gt;"",CONCATENATE("Previous Matchup Player #: ",VLOOKUP(D25,'Tournament Details'!$C:$X,22,FALSE)," - ",VLOOKUP(D25,'Tournament Details'!$C:$Y,23,FALSE)," - ",VLOOKUP(D25,'Tournament Details'!$C:$Z,24,FALSE)),""))</f>
        <v/>
      </c>
    </row>
    <row r="26" spans="1:27" ht="15" customHeight="1" thickBot="1" x14ac:dyDescent="0.35">
      <c r="A26" s="224"/>
      <c r="B26" s="43">
        <f t="shared" si="0"/>
        <v>0</v>
      </c>
      <c r="C26" s="44" t="str">
        <f t="shared" si="1"/>
        <v/>
      </c>
      <c r="D26" s="74" t="str">
        <f>IF('Tournament Details'!A1&gt;=1,IF('Tournament Details'!C30&lt;=LARGE('Round 3'!$C:$C,1),VLOOKUP(SMALL('Round 3'!$C:$C,24),'Round 3'!$C:$D,2,FALSE),""),"")</f>
        <v/>
      </c>
      <c r="E26" s="44" t="str">
        <f>IF(D26="","",B26+VLOOKUP(D26,'Round 3'!$D:$E,2,FALSE))</f>
        <v/>
      </c>
      <c r="F26" s="44" t="str">
        <f>IF(D26="","",(LARGE('Tournament Details'!$C:$C,1)+1-D26)+E26)</f>
        <v/>
      </c>
      <c r="G26" s="24" t="str">
        <f>D25</f>
        <v/>
      </c>
      <c r="H26" s="26" t="str">
        <f>IF(D26="","",IF(VLOOKUP(D26,'Tournament Details'!$C:$G,5,FALSE)="",D26,VLOOKUP(D26,'Tournament Details'!$C:$G,5,FALSE)))</f>
        <v/>
      </c>
      <c r="I26" s="12" t="str">
        <f>IF(D26=0,"",IF(VLOOKUP(D26,'Tournament Details'!$C:$E,3,FALSE)&gt;0,VLOOKUP(D26,'Tournament Details'!$C:$E,3,FALSE),""))</f>
        <v/>
      </c>
      <c r="J26" s="128"/>
      <c r="K26" s="128"/>
      <c r="L26" s="23"/>
      <c r="M26" s="24"/>
      <c r="N26" s="24"/>
      <c r="O26" s="24"/>
      <c r="P26" s="191">
        <v>0</v>
      </c>
      <c r="Q26" s="183">
        <f t="shared" si="2"/>
        <v>0</v>
      </c>
      <c r="R26" s="135" t="str">
        <f t="shared" si="3"/>
        <v/>
      </c>
      <c r="S26" s="135" t="str">
        <f>IF(Q26="","",IF(Q25+Q26&lt;&gt;20,IF(Q25+Q26&lt;&gt;0,"!",""),""))</f>
        <v/>
      </c>
      <c r="T26" s="21" t="str">
        <f t="shared" si="4"/>
        <v/>
      </c>
      <c r="U26" s="132">
        <f>IF(D26="",0,VLOOKUP(D26,'Tournament Details'!$C:$X,22,FALSE))</f>
        <v>0</v>
      </c>
      <c r="V26" s="132">
        <f>IF(D26="",0,VLOOKUP(D26,'Tournament Details'!$C:$Y,23,FALSE))</f>
        <v>0</v>
      </c>
      <c r="W26" s="132">
        <f>IF(D26="",0,VLOOKUP(D26,'Tournament Details'!$C:$Z,24,FALSE))</f>
        <v>0</v>
      </c>
      <c r="X26" s="132">
        <f>IF(D26="",0,VLOOKUP(D26,'Tournament Details'!$C:$AA,25,FALSE))</f>
        <v>0</v>
      </c>
      <c r="Y26" s="40" t="str">
        <f>IF(D26="","",IF(COUNTIF(D:D,D26)&gt;1,"DUPLICATE PLAYER",IF(D25="","NO OPPONENT",IF(D25=U26,"REPEAT MATCHUP",IF(D25=V26,"REPEAT MATCHUP",IF(D25=W26,"REPEAT MATCHUP",IF(H26=H25,"SAME TEAM","")))))))</f>
        <v/>
      </c>
      <c r="Z26" s="40"/>
      <c r="AA26" t="str">
        <f>IF(Y26="NO OPPONENT","",IF(Y26&lt;&gt;"",CONCATENATE("Previous Matchup Player #: ",VLOOKUP(D26,'Tournament Details'!$C:$X,22,FALSE)," - ",VLOOKUP(D26,'Tournament Details'!$C:$Y,23,FALSE)," - ",VLOOKUP(D26,'Tournament Details'!$C:$Z,24,FALSE)),""))</f>
        <v/>
      </c>
    </row>
    <row r="27" spans="1:27" ht="15" customHeight="1" thickBot="1" x14ac:dyDescent="0.35">
      <c r="A27" s="224" t="str">
        <f>IF('Tournament Details'!A1&gt;=1,IF(LARGE('Tournament Details'!C7:C86,1)&gt;=26,13,""),"")</f>
        <v/>
      </c>
      <c r="B27" s="42">
        <f t="shared" si="0"/>
        <v>0</v>
      </c>
      <c r="C27" s="44" t="str">
        <f t="shared" si="1"/>
        <v/>
      </c>
      <c r="D27" s="66" t="str">
        <f>IF('Tournament Details'!A1&gt;=1,IF('Tournament Details'!C31&lt;=LARGE('Round 3'!$C:$C,1),VLOOKUP(SMALL('Round 3'!$C:$C,25),'Round 3'!$C:$D,2,FALSE),""),"")</f>
        <v/>
      </c>
      <c r="E27" s="44" t="str">
        <f>IF(D27="","",B27+VLOOKUP(D27,'Round 3'!$D:$E,2,FALSE))</f>
        <v/>
      </c>
      <c r="F27" s="44" t="str">
        <f>IF(D27="","",(LARGE('Tournament Details'!$C:$C,1)+1-D27)+E27)</f>
        <v/>
      </c>
      <c r="G27" s="23" t="str">
        <f>D28</f>
        <v/>
      </c>
      <c r="H27" s="25" t="str">
        <f>IF(D27="","",IF(VLOOKUP(D27,'Tournament Details'!$C:$G,5,FALSE)="",D27,VLOOKUP(D27,'Tournament Details'!$C:$G,5,FALSE)))</f>
        <v/>
      </c>
      <c r="I27" s="7" t="str">
        <f>IF(D27=0,"",IF(VLOOKUP(D27,'Tournament Details'!$C:$E,3,FALSE)&gt;0,VLOOKUP(D27,'Tournament Details'!$C:$E,3,FALSE),""))</f>
        <v/>
      </c>
      <c r="J27" s="127"/>
      <c r="K27" s="127"/>
      <c r="L27" s="23"/>
      <c r="M27" s="23"/>
      <c r="N27" s="23"/>
      <c r="O27" s="23"/>
      <c r="P27" s="190">
        <v>0</v>
      </c>
      <c r="Q27" s="183">
        <f t="shared" si="2"/>
        <v>0</v>
      </c>
      <c r="R27" s="135" t="str">
        <f t="shared" si="3"/>
        <v/>
      </c>
      <c r="S27" s="135" t="str">
        <f>IF(Q27="","",IF(Q27+Q28&lt;&gt;20,IF(Q27+Q28&lt;&gt;0,"!",""),""))</f>
        <v/>
      </c>
      <c r="T27" s="21" t="str">
        <f t="shared" si="4"/>
        <v/>
      </c>
      <c r="U27" s="132">
        <f>IF(D27="",0,VLOOKUP(D27,'Tournament Details'!$C:$X,22,FALSE))</f>
        <v>0</v>
      </c>
      <c r="V27" s="132">
        <f>IF(D27="",0,VLOOKUP(D27,'Tournament Details'!$C:$Y,23,FALSE))</f>
        <v>0</v>
      </c>
      <c r="W27" s="132">
        <f>IF(D27="",0,VLOOKUP(D27,'Tournament Details'!$C:$Z,24,FALSE))</f>
        <v>0</v>
      </c>
      <c r="X27" s="132">
        <f>IF(D27="",0,VLOOKUP(D27,'Tournament Details'!$C:$AA,25,FALSE))</f>
        <v>0</v>
      </c>
      <c r="Y27" s="40" t="str">
        <f>IF(D27="","",IF(COUNTIF(D:D,D27)&gt;1,"DUPLICATE PLAYER",IF(D28="","NO OPPONENT",IF(D28=U27,"REPEAT MATCHUP",IF(D28=V27,"REPEAT MATCHUP",IF(D28=W27,"REPEAT MATCHUP",IF(H27=H28,"SAME TEAM","")))))))</f>
        <v/>
      </c>
      <c r="Z27" s="40"/>
      <c r="AA27" t="str">
        <f>IF(Y27="NO OPPONENT","",IF(Y27&lt;&gt;"",CONCATENATE("Previous Matchup Player #: ",VLOOKUP(D27,'Tournament Details'!$C:$X,22,FALSE)," - ",VLOOKUP(D27,'Tournament Details'!$C:$Y,23,FALSE)," - ",VLOOKUP(D27,'Tournament Details'!$C:$Z,24,FALSE)),""))</f>
        <v/>
      </c>
    </row>
    <row r="28" spans="1:27" ht="15" customHeight="1" thickBot="1" x14ac:dyDescent="0.35">
      <c r="A28" s="224"/>
      <c r="B28" s="43">
        <f t="shared" si="0"/>
        <v>0</v>
      </c>
      <c r="C28" s="44" t="str">
        <f t="shared" si="1"/>
        <v/>
      </c>
      <c r="D28" s="74" t="str">
        <f>IF('Tournament Details'!A1&gt;=1,IF('Tournament Details'!C32&lt;=LARGE('Round 3'!$C:$C,1),VLOOKUP(SMALL('Round 3'!$C:$C,26),'Round 3'!$C:$D,2,FALSE),""),"")</f>
        <v/>
      </c>
      <c r="E28" s="44" t="str">
        <f>IF(D28="","",B28+VLOOKUP(D28,'Round 3'!$D:$E,2,FALSE))</f>
        <v/>
      </c>
      <c r="F28" s="44" t="str">
        <f>IF(D28="","",(LARGE('Tournament Details'!$C:$C,1)+1-D28)+E28)</f>
        <v/>
      </c>
      <c r="G28" s="24" t="str">
        <f>D27</f>
        <v/>
      </c>
      <c r="H28" s="26" t="str">
        <f>IF(D28="","",IF(VLOOKUP(D28,'Tournament Details'!$C:$G,5,FALSE)="",D28,VLOOKUP(D28,'Tournament Details'!$C:$G,5,FALSE)))</f>
        <v/>
      </c>
      <c r="I28" s="12" t="str">
        <f>IF(D28=0,"",IF(VLOOKUP(D28,'Tournament Details'!$C:$E,3,FALSE)&gt;0,VLOOKUP(D28,'Tournament Details'!$C:$E,3,FALSE),""))</f>
        <v/>
      </c>
      <c r="J28" s="128"/>
      <c r="K28" s="128"/>
      <c r="L28" s="23"/>
      <c r="M28" s="24"/>
      <c r="N28" s="24"/>
      <c r="O28" s="24"/>
      <c r="P28" s="191">
        <v>0</v>
      </c>
      <c r="Q28" s="183">
        <f t="shared" si="2"/>
        <v>0</v>
      </c>
      <c r="R28" s="135" t="str">
        <f t="shared" si="3"/>
        <v/>
      </c>
      <c r="S28" s="135" t="str">
        <f>IF(Q28="","",IF(Q27+Q28&lt;&gt;20,IF(Q27+Q28&lt;&gt;0,"!",""),""))</f>
        <v/>
      </c>
      <c r="T28" s="21" t="str">
        <f t="shared" si="4"/>
        <v/>
      </c>
      <c r="U28" s="132">
        <f>IF(D28="",0,VLOOKUP(D28,'Tournament Details'!$C:$X,22,FALSE))</f>
        <v>0</v>
      </c>
      <c r="V28" s="132">
        <f>IF(D28="",0,VLOOKUP(D28,'Tournament Details'!$C:$Y,23,FALSE))</f>
        <v>0</v>
      </c>
      <c r="W28" s="132">
        <f>IF(D28="",0,VLOOKUP(D28,'Tournament Details'!$C:$Z,24,FALSE))</f>
        <v>0</v>
      </c>
      <c r="X28" s="132">
        <f>IF(D28="",0,VLOOKUP(D28,'Tournament Details'!$C:$AA,25,FALSE))</f>
        <v>0</v>
      </c>
      <c r="Y28" s="40" t="str">
        <f>IF(D28="","",IF(COUNTIF(D:D,D28)&gt;1,"DUPLICATE PLAYER",IF(D27="","NO OPPONENT",IF(D27=U28,"REPEAT MATCHUP",IF(D27=V28,"REPEAT MATCHUP",IF(D27=W28,"REPEAT MATCHUP",IF(H28=H27,"SAME TEAM","")))))))</f>
        <v/>
      </c>
      <c r="Z28" s="40"/>
      <c r="AA28" t="str">
        <f>IF(Y28="NO OPPONENT","",IF(Y28&lt;&gt;"",CONCATENATE("Previous Matchup Player #: ",VLOOKUP(D28,'Tournament Details'!$C:$X,22,FALSE)," - ",VLOOKUP(D28,'Tournament Details'!$C:$Y,23,FALSE)," - ",VLOOKUP(D28,'Tournament Details'!$C:$Z,24,FALSE)),""))</f>
        <v/>
      </c>
    </row>
    <row r="29" spans="1:27" ht="15" customHeight="1" thickBot="1" x14ac:dyDescent="0.35">
      <c r="A29" s="224" t="str">
        <f>IF('Tournament Details'!A1&gt;=1,IF(LARGE('Tournament Details'!C7:C86,1)&gt;=28,14,""),"")</f>
        <v/>
      </c>
      <c r="B29" s="42">
        <f t="shared" si="0"/>
        <v>0</v>
      </c>
      <c r="C29" s="44" t="str">
        <f t="shared" si="1"/>
        <v/>
      </c>
      <c r="D29" s="66" t="str">
        <f>IF('Tournament Details'!A1&gt;=1,IF('Tournament Details'!C33&lt;=LARGE('Round 3'!$C:$C,1),VLOOKUP(SMALL('Round 3'!$C:$C,27),'Round 3'!$C:$D,2,FALSE),""),"")</f>
        <v/>
      </c>
      <c r="E29" s="44" t="str">
        <f>IF(D29="","",B29+VLOOKUP(D29,'Round 3'!$D:$E,2,FALSE))</f>
        <v/>
      </c>
      <c r="F29" s="44" t="str">
        <f>IF(D29="","",(LARGE('Tournament Details'!$C:$C,1)+1-D29)+E29)</f>
        <v/>
      </c>
      <c r="G29" s="23" t="str">
        <f>D30</f>
        <v/>
      </c>
      <c r="H29" s="25" t="str">
        <f>IF(D29="","",IF(VLOOKUP(D29,'Tournament Details'!$C:$G,5,FALSE)="",D29,VLOOKUP(D29,'Tournament Details'!$C:$G,5,FALSE)))</f>
        <v/>
      </c>
      <c r="I29" s="7" t="str">
        <f>IF(D29=0,"",IF(VLOOKUP(D29,'Tournament Details'!$C:$E,3,FALSE)&gt;0,VLOOKUP(D29,'Tournament Details'!$C:$E,3,FALSE),""))</f>
        <v/>
      </c>
      <c r="J29" s="127"/>
      <c r="K29" s="127"/>
      <c r="L29" s="23"/>
      <c r="M29" s="23"/>
      <c r="N29" s="23"/>
      <c r="O29" s="23"/>
      <c r="P29" s="190">
        <v>0</v>
      </c>
      <c r="Q29" s="183">
        <f t="shared" si="2"/>
        <v>0</v>
      </c>
      <c r="R29" s="135" t="str">
        <f t="shared" si="3"/>
        <v/>
      </c>
      <c r="S29" s="135" t="str">
        <f>IF(Q29="","",IF(Q29+Q30&lt;&gt;20,IF(Q29+Q30&lt;&gt;0,"!",""),""))</f>
        <v/>
      </c>
      <c r="T29" s="21" t="str">
        <f t="shared" si="4"/>
        <v/>
      </c>
      <c r="U29" s="132">
        <f>IF(D29="",0,VLOOKUP(D29,'Tournament Details'!$C:$X,22,FALSE))</f>
        <v>0</v>
      </c>
      <c r="V29" s="132">
        <f>IF(D29="",0,VLOOKUP(D29,'Tournament Details'!$C:$Y,23,FALSE))</f>
        <v>0</v>
      </c>
      <c r="W29" s="132">
        <f>IF(D29="",0,VLOOKUP(D29,'Tournament Details'!$C:$Z,24,FALSE))</f>
        <v>0</v>
      </c>
      <c r="X29" s="132">
        <f>IF(D29="",0,VLOOKUP(D29,'Tournament Details'!$C:$AA,25,FALSE))</f>
        <v>0</v>
      </c>
      <c r="Y29" s="40" t="str">
        <f>IF(D29="","",IF(COUNTIF(D:D,D29)&gt;1,"DUPLICATE PLAYER",IF(D30="","NO OPPONENT",IF(D30=U29,"REPEAT MATCHUP",IF(D30=V29,"REPEAT MATCHUP",IF(D30=W29,"REPEAT MATCHUP",IF(H29=H30,"SAME TEAM","")))))))</f>
        <v/>
      </c>
      <c r="Z29" s="40"/>
      <c r="AA29" t="str">
        <f>IF(Y29="NO OPPONENT","",IF(Y29&lt;&gt;"",CONCATENATE("Previous Matchup Player #: ",VLOOKUP(D29,'Tournament Details'!$C:$X,22,FALSE)," - ",VLOOKUP(D29,'Tournament Details'!$C:$Y,23,FALSE)," - ",VLOOKUP(D29,'Tournament Details'!$C:$Z,24,FALSE)),""))</f>
        <v/>
      </c>
    </row>
    <row r="30" spans="1:27" ht="15" customHeight="1" thickBot="1" x14ac:dyDescent="0.35">
      <c r="A30" s="224"/>
      <c r="B30" s="43">
        <f t="shared" si="0"/>
        <v>0</v>
      </c>
      <c r="C30" s="44" t="str">
        <f t="shared" si="1"/>
        <v/>
      </c>
      <c r="D30" s="74" t="str">
        <f>IF('Tournament Details'!A1&gt;=1,IF('Tournament Details'!C34&lt;=LARGE('Round 3'!$C:$C,1),VLOOKUP(SMALL('Round 3'!$C:$C,28),'Round 3'!$C:$D,2,FALSE),""),"")</f>
        <v/>
      </c>
      <c r="E30" s="44" t="str">
        <f>IF(D30="","",B30+VLOOKUP(D30,'Round 3'!$D:$E,2,FALSE))</f>
        <v/>
      </c>
      <c r="F30" s="44" t="str">
        <f>IF(D30="","",(LARGE('Tournament Details'!$C:$C,1)+1-D30)+E30)</f>
        <v/>
      </c>
      <c r="G30" s="24" t="str">
        <f>D29</f>
        <v/>
      </c>
      <c r="H30" s="26" t="str">
        <f>IF(D30="","",IF(VLOOKUP(D30,'Tournament Details'!$C:$G,5,FALSE)="",D30,VLOOKUP(D30,'Tournament Details'!$C:$G,5,FALSE)))</f>
        <v/>
      </c>
      <c r="I30" s="12" t="str">
        <f>IF(D30=0,"",IF(VLOOKUP(D30,'Tournament Details'!$C:$E,3,FALSE)&gt;0,VLOOKUP(D30,'Tournament Details'!$C:$E,3,FALSE),""))</f>
        <v/>
      </c>
      <c r="J30" s="128"/>
      <c r="K30" s="128"/>
      <c r="L30" s="23"/>
      <c r="M30" s="24"/>
      <c r="N30" s="24"/>
      <c r="O30" s="24"/>
      <c r="P30" s="191">
        <v>0</v>
      </c>
      <c r="Q30" s="183">
        <f t="shared" si="2"/>
        <v>0</v>
      </c>
      <c r="R30" s="135" t="str">
        <f t="shared" si="3"/>
        <v/>
      </c>
      <c r="S30" s="135" t="str">
        <f>IF(Q30="","",IF(Q29+Q30&lt;&gt;20,IF(Q29+Q30&lt;&gt;0,"!",""),""))</f>
        <v/>
      </c>
      <c r="T30" s="21" t="str">
        <f t="shared" si="4"/>
        <v/>
      </c>
      <c r="U30" s="132">
        <f>IF(D30="",0,VLOOKUP(D30,'Tournament Details'!$C:$X,22,FALSE))</f>
        <v>0</v>
      </c>
      <c r="V30" s="132">
        <f>IF(D30="",0,VLOOKUP(D30,'Tournament Details'!$C:$Y,23,FALSE))</f>
        <v>0</v>
      </c>
      <c r="W30" s="132">
        <f>IF(D30="",0,VLOOKUP(D30,'Tournament Details'!$C:$Z,24,FALSE))</f>
        <v>0</v>
      </c>
      <c r="X30" s="132">
        <f>IF(D30="",0,VLOOKUP(D30,'Tournament Details'!$C:$AA,25,FALSE))</f>
        <v>0</v>
      </c>
      <c r="Y30" s="40" t="str">
        <f>IF(D30="","",IF(COUNTIF(D:D,D30)&gt;1,"DUPLICATE PLAYER",IF(D29="","NO OPPONENT",IF(D29=U30,"REPEAT MATCHUP",IF(D29=V30,"REPEAT MATCHUP",IF(D29=W30,"REPEAT MATCHUP",IF(H30=H29,"SAME TEAM","")))))))</f>
        <v/>
      </c>
      <c r="Z30" s="40"/>
      <c r="AA30" t="str">
        <f>IF(Y30="NO OPPONENT","",IF(Y30&lt;&gt;"",CONCATENATE("Previous Matchup Player #: ",VLOOKUP(D30,'Tournament Details'!$C:$X,22,FALSE)," - ",VLOOKUP(D30,'Tournament Details'!$C:$Y,23,FALSE)," - ",VLOOKUP(D30,'Tournament Details'!$C:$Z,24,FALSE)),""))</f>
        <v/>
      </c>
    </row>
    <row r="31" spans="1:27" ht="15" customHeight="1" thickBot="1" x14ac:dyDescent="0.35">
      <c r="A31" s="224" t="str">
        <f>IF('Tournament Details'!A1&gt;=1,IF(LARGE('Tournament Details'!C7:C86,1)&gt;=30,15,""),"")</f>
        <v/>
      </c>
      <c r="B31" s="42">
        <f t="shared" si="0"/>
        <v>0</v>
      </c>
      <c r="C31" s="44" t="str">
        <f t="shared" si="1"/>
        <v/>
      </c>
      <c r="D31" s="66" t="str">
        <f>IF('Tournament Details'!A1&gt;=1,IF('Tournament Details'!C35&lt;=LARGE('Round 3'!$C:$C,1),VLOOKUP(SMALL('Round 3'!$C:$C,29),'Round 3'!$C:$D,2,FALSE),""),"")</f>
        <v/>
      </c>
      <c r="E31" s="44" t="str">
        <f>IF(D31="","",B31+VLOOKUP(D31,'Round 3'!$D:$E,2,FALSE))</f>
        <v/>
      </c>
      <c r="F31" s="44" t="str">
        <f>IF(D31="","",(LARGE('Tournament Details'!$C:$C,1)+1-D31)+E31)</f>
        <v/>
      </c>
      <c r="G31" s="23" t="str">
        <f>D32</f>
        <v/>
      </c>
      <c r="H31" s="25" t="str">
        <f>IF(D31="","",IF(VLOOKUP(D31,'Tournament Details'!$C:$G,5,FALSE)="",D31,VLOOKUP(D31,'Tournament Details'!$C:$G,5,FALSE)))</f>
        <v/>
      </c>
      <c r="I31" s="7" t="str">
        <f>IF(D31=0,"",IF(VLOOKUP(D31,'Tournament Details'!$C:$E,3,FALSE)&gt;0,VLOOKUP(D31,'Tournament Details'!$C:$E,3,FALSE),""))</f>
        <v/>
      </c>
      <c r="J31" s="127"/>
      <c r="K31" s="127"/>
      <c r="L31" s="23"/>
      <c r="M31" s="23"/>
      <c r="N31" s="23"/>
      <c r="O31" s="23"/>
      <c r="P31" s="190">
        <v>0</v>
      </c>
      <c r="Q31" s="183">
        <f t="shared" si="2"/>
        <v>0</v>
      </c>
      <c r="R31" s="135" t="str">
        <f t="shared" si="3"/>
        <v/>
      </c>
      <c r="S31" s="135" t="str">
        <f>IF(Q31="","",IF(Q31+Q32&lt;&gt;20,IF(Q31+Q32&lt;&gt;0,"!",""),""))</f>
        <v/>
      </c>
      <c r="T31" s="21" t="str">
        <f t="shared" si="4"/>
        <v/>
      </c>
      <c r="U31" s="132">
        <f>IF(D31="",0,VLOOKUP(D31,'Tournament Details'!$C:$X,22,FALSE))</f>
        <v>0</v>
      </c>
      <c r="V31" s="132">
        <f>IF(D31="",0,VLOOKUP(D31,'Tournament Details'!$C:$Y,23,FALSE))</f>
        <v>0</v>
      </c>
      <c r="W31" s="132">
        <f>IF(D31="",0,VLOOKUP(D31,'Tournament Details'!$C:$Z,24,FALSE))</f>
        <v>0</v>
      </c>
      <c r="X31" s="132">
        <f>IF(D31="",0,VLOOKUP(D31,'Tournament Details'!$C:$AA,25,FALSE))</f>
        <v>0</v>
      </c>
      <c r="Y31" s="40" t="str">
        <f>IF(D31="","",IF(COUNTIF(D:D,D31)&gt;1,"DUPLICATE PLAYER",IF(D32="","NO OPPONENT",IF(D32=U31,"REPEAT MATCHUP",IF(D32=V31,"REPEAT MATCHUP",IF(D32=W31,"REPEAT MATCHUP",IF(H31=H32,"SAME TEAM","")))))))</f>
        <v/>
      </c>
      <c r="Z31" s="40"/>
      <c r="AA31" t="str">
        <f>IF(Y31="NO OPPONENT","",IF(Y31&lt;&gt;"",CONCATENATE("Previous Matchup Player #: ",VLOOKUP(D31,'Tournament Details'!$C:$X,22,FALSE)," - ",VLOOKUP(D31,'Tournament Details'!$C:$Y,23,FALSE)," - ",VLOOKUP(D31,'Tournament Details'!$C:$Z,24,FALSE)),""))</f>
        <v/>
      </c>
    </row>
    <row r="32" spans="1:27" ht="15" customHeight="1" thickBot="1" x14ac:dyDescent="0.35">
      <c r="A32" s="224"/>
      <c r="B32" s="43">
        <f t="shared" si="0"/>
        <v>0</v>
      </c>
      <c r="C32" s="44" t="str">
        <f t="shared" si="1"/>
        <v/>
      </c>
      <c r="D32" s="74" t="str">
        <f>IF('Tournament Details'!A1&gt;=1,IF('Tournament Details'!C36&lt;=LARGE('Round 3'!$C:$C,1),VLOOKUP(SMALL('Round 3'!$C:$C,30),'Round 3'!$C:$D,2,FALSE),""),"")</f>
        <v/>
      </c>
      <c r="E32" s="44" t="str">
        <f>IF(D32="","",B32+VLOOKUP(D32,'Round 3'!$D:$E,2,FALSE))</f>
        <v/>
      </c>
      <c r="F32" s="44" t="str">
        <f>IF(D32="","",(LARGE('Tournament Details'!$C:$C,1)+1-D32)+E32)</f>
        <v/>
      </c>
      <c r="G32" s="24" t="str">
        <f>D31</f>
        <v/>
      </c>
      <c r="H32" s="26" t="str">
        <f>IF(D32="","",IF(VLOOKUP(D32,'Tournament Details'!$C:$G,5,FALSE)="",D32,VLOOKUP(D32,'Tournament Details'!$C:$G,5,FALSE)))</f>
        <v/>
      </c>
      <c r="I32" s="12" t="str">
        <f>IF(D32=0,"",IF(VLOOKUP(D32,'Tournament Details'!$C:$E,3,FALSE)&gt;0,VLOOKUP(D32,'Tournament Details'!$C:$E,3,FALSE),""))</f>
        <v/>
      </c>
      <c r="J32" s="128"/>
      <c r="K32" s="128"/>
      <c r="L32" s="23"/>
      <c r="M32" s="24"/>
      <c r="N32" s="24"/>
      <c r="O32" s="24"/>
      <c r="P32" s="191">
        <v>0</v>
      </c>
      <c r="Q32" s="183">
        <f t="shared" si="2"/>
        <v>0</v>
      </c>
      <c r="R32" s="135" t="str">
        <f t="shared" si="3"/>
        <v/>
      </c>
      <c r="S32" s="135" t="str">
        <f>IF(Q32="","",IF(Q31+Q32&lt;&gt;20,IF(Q31+Q32&lt;&gt;0,"!",""),""))</f>
        <v/>
      </c>
      <c r="T32" s="21" t="str">
        <f t="shared" si="4"/>
        <v/>
      </c>
      <c r="U32" s="132">
        <f>IF(D32="",0,VLOOKUP(D32,'Tournament Details'!$C:$X,22,FALSE))</f>
        <v>0</v>
      </c>
      <c r="V32" s="132">
        <f>IF(D32="",0,VLOOKUP(D32,'Tournament Details'!$C:$Y,23,FALSE))</f>
        <v>0</v>
      </c>
      <c r="W32" s="132">
        <f>IF(D32="",0,VLOOKUP(D32,'Tournament Details'!$C:$Z,24,FALSE))</f>
        <v>0</v>
      </c>
      <c r="X32" s="132">
        <f>IF(D32="",0,VLOOKUP(D32,'Tournament Details'!$C:$AA,25,FALSE))</f>
        <v>0</v>
      </c>
      <c r="Y32" s="40" t="str">
        <f>IF(D32="","",IF(COUNTIF(D:D,D32)&gt;1,"DUPLICATE PLAYER",IF(D31="","NO OPPONENT",IF(D31=U32,"REPEAT MATCHUP",IF(D31=V32,"REPEAT MATCHUP",IF(D31=W32,"REPEAT MATCHUP",IF(H32=H31,"SAME TEAM","")))))))</f>
        <v/>
      </c>
      <c r="Z32" s="40"/>
      <c r="AA32" t="str">
        <f>IF(Y32="NO OPPONENT","",IF(Y32&lt;&gt;"",CONCATENATE("Previous Matchup Player #: ",VLOOKUP(D32,'Tournament Details'!$C:$X,22,FALSE)," - ",VLOOKUP(D32,'Tournament Details'!$C:$Y,23,FALSE)," - ",VLOOKUP(D32,'Tournament Details'!$C:$Z,24,FALSE)),""))</f>
        <v/>
      </c>
    </row>
    <row r="33" spans="1:27" ht="15" customHeight="1" thickBot="1" x14ac:dyDescent="0.35">
      <c r="A33" s="224" t="str">
        <f>IF('Tournament Details'!A1&gt;=1,IF(LARGE('Tournament Details'!C7:C86,1)&gt;=32,16,""),"")</f>
        <v/>
      </c>
      <c r="B33" s="42">
        <f t="shared" si="0"/>
        <v>0</v>
      </c>
      <c r="C33" s="44" t="str">
        <f t="shared" si="1"/>
        <v/>
      </c>
      <c r="D33" s="66" t="str">
        <f>IF('Tournament Details'!A1&gt;=1,IF('Tournament Details'!C37&lt;=LARGE('Round 3'!$C:$C,1),VLOOKUP(SMALL('Round 3'!$C:$C,31),'Round 3'!$C:$D,2,FALSE),""),"")</f>
        <v/>
      </c>
      <c r="E33" s="44" t="str">
        <f>IF(D33="","",B33+VLOOKUP(D33,'Round 3'!$D:$E,2,FALSE))</f>
        <v/>
      </c>
      <c r="F33" s="44" t="str">
        <f>IF(D33="","",(LARGE('Tournament Details'!$C:$C,1)+1-D33)+E33)</f>
        <v/>
      </c>
      <c r="G33" s="23" t="str">
        <f>D34</f>
        <v/>
      </c>
      <c r="H33" s="25" t="str">
        <f>IF(D33="","",IF(VLOOKUP(D33,'Tournament Details'!$C:$G,5,FALSE)="",D33,VLOOKUP(D33,'Tournament Details'!$C:$G,5,FALSE)))</f>
        <v/>
      </c>
      <c r="I33" s="7" t="str">
        <f>IF(D33=0,"",IF(VLOOKUP(D33,'Tournament Details'!$C:$E,3,FALSE)&gt;0,VLOOKUP(D33,'Tournament Details'!$C:$E,3,FALSE),""))</f>
        <v/>
      </c>
      <c r="J33" s="127"/>
      <c r="K33" s="127"/>
      <c r="L33" s="23"/>
      <c r="M33" s="23"/>
      <c r="N33" s="23"/>
      <c r="O33" s="23"/>
      <c r="P33" s="190">
        <v>0</v>
      </c>
      <c r="Q33" s="183">
        <f t="shared" si="2"/>
        <v>0</v>
      </c>
      <c r="R33" s="135" t="str">
        <f t="shared" si="3"/>
        <v/>
      </c>
      <c r="S33" s="135" t="str">
        <f>IF(Q33="","",IF(Q33+Q34&lt;&gt;20,IF(Q33+Q34&lt;&gt;0,"!",""),""))</f>
        <v/>
      </c>
      <c r="T33" s="21" t="str">
        <f t="shared" si="4"/>
        <v/>
      </c>
      <c r="U33" s="132">
        <f>IF(D33="",0,VLOOKUP(D33,'Tournament Details'!$C:$X,22,FALSE))</f>
        <v>0</v>
      </c>
      <c r="V33" s="132">
        <f>IF(D33="",0,VLOOKUP(D33,'Tournament Details'!$C:$Y,23,FALSE))</f>
        <v>0</v>
      </c>
      <c r="W33" s="132">
        <f>IF(D33="",0,VLOOKUP(D33,'Tournament Details'!$C:$Z,24,FALSE))</f>
        <v>0</v>
      </c>
      <c r="X33" s="132">
        <f>IF(D33="",0,VLOOKUP(D33,'Tournament Details'!$C:$AA,25,FALSE))</f>
        <v>0</v>
      </c>
      <c r="Y33" s="40" t="str">
        <f>IF(D33="","",IF(COUNTIF(D:D,D33)&gt;1,"DUPLICATE PLAYER",IF(D34="","NO OPPONENT",IF(D34=U33,"REPEAT MATCHUP",IF(D34=V33,"REPEAT MATCHUP",IF(D34=W33,"REPEAT MATCHUP",IF(H33=H34,"SAME TEAM","")))))))</f>
        <v/>
      </c>
      <c r="Z33" s="40"/>
      <c r="AA33" t="str">
        <f>IF(Y33="NO OPPONENT","",IF(Y33&lt;&gt;"",CONCATENATE("Previous Matchup Player #: ",VLOOKUP(D33,'Tournament Details'!$C:$X,22,FALSE)," - ",VLOOKUP(D33,'Tournament Details'!$C:$Y,23,FALSE)," - ",VLOOKUP(D33,'Tournament Details'!$C:$Z,24,FALSE)),""))</f>
        <v/>
      </c>
    </row>
    <row r="34" spans="1:27" ht="15" customHeight="1" thickBot="1" x14ac:dyDescent="0.35">
      <c r="A34" s="224"/>
      <c r="B34" s="43">
        <f t="shared" si="0"/>
        <v>0</v>
      </c>
      <c r="C34" s="44" t="str">
        <f t="shared" si="1"/>
        <v/>
      </c>
      <c r="D34" s="74" t="str">
        <f>IF('Tournament Details'!A1&gt;=1,IF('Tournament Details'!C38&lt;=LARGE('Round 3'!$C:$C,1),VLOOKUP(SMALL('Round 3'!$C:$C,32),'Round 3'!$C:$D,2,FALSE),""),"")</f>
        <v/>
      </c>
      <c r="E34" s="44" t="str">
        <f>IF(D34="","",B34+VLOOKUP(D34,'Round 3'!$D:$E,2,FALSE))</f>
        <v/>
      </c>
      <c r="F34" s="44" t="str">
        <f>IF(D34="","",(LARGE('Tournament Details'!$C:$C,1)+1-D34)+E34)</f>
        <v/>
      </c>
      <c r="G34" s="24" t="str">
        <f>D33</f>
        <v/>
      </c>
      <c r="H34" s="26" t="str">
        <f>IF(D34="","",IF(VLOOKUP(D34,'Tournament Details'!$C:$G,5,FALSE)="",D34,VLOOKUP(D34,'Tournament Details'!$C:$G,5,FALSE)))</f>
        <v/>
      </c>
      <c r="I34" s="12" t="str">
        <f>IF(D34=0,"",IF(VLOOKUP(D34,'Tournament Details'!$C:$E,3,FALSE)&gt;0,VLOOKUP(D34,'Tournament Details'!$C:$E,3,FALSE),""))</f>
        <v/>
      </c>
      <c r="J34" s="128"/>
      <c r="K34" s="128"/>
      <c r="L34" s="23"/>
      <c r="M34" s="24"/>
      <c r="N34" s="24"/>
      <c r="O34" s="24"/>
      <c r="P34" s="191">
        <v>0</v>
      </c>
      <c r="Q34" s="183">
        <f t="shared" si="2"/>
        <v>0</v>
      </c>
      <c r="R34" s="135" t="str">
        <f t="shared" si="3"/>
        <v/>
      </c>
      <c r="S34" s="135" t="str">
        <f>IF(Q34="","",IF(Q33+Q34&lt;&gt;20,IF(Q33+Q34&lt;&gt;0,"!",""),""))</f>
        <v/>
      </c>
      <c r="T34" s="21" t="str">
        <f t="shared" si="4"/>
        <v/>
      </c>
      <c r="U34" s="132">
        <f>IF(D34="",0,VLOOKUP(D34,'Tournament Details'!$C:$X,22,FALSE))</f>
        <v>0</v>
      </c>
      <c r="V34" s="132">
        <f>IF(D34="",0,VLOOKUP(D34,'Tournament Details'!$C:$Y,23,FALSE))</f>
        <v>0</v>
      </c>
      <c r="W34" s="132">
        <f>IF(D34="",0,VLOOKUP(D34,'Tournament Details'!$C:$Z,24,FALSE))</f>
        <v>0</v>
      </c>
      <c r="X34" s="132">
        <f>IF(D34="",0,VLOOKUP(D34,'Tournament Details'!$C:$AA,25,FALSE))</f>
        <v>0</v>
      </c>
      <c r="Y34" s="40" t="str">
        <f>IF(D34="","",IF(COUNTIF(D:D,D34)&gt;1,"DUPLICATE PLAYER",IF(D33="","NO OPPONENT",IF(D33=U34,"REPEAT MATCHUP",IF(D33=V34,"REPEAT MATCHUP",IF(D33=W34,"REPEAT MATCHUP",IF(H34=H33,"SAME TEAM","")))))))</f>
        <v/>
      </c>
      <c r="Z34" s="40"/>
      <c r="AA34" t="str">
        <f>IF(Y34="NO OPPONENT","",IF(Y34&lt;&gt;"",CONCATENATE("Previous Matchup Player #: ",VLOOKUP(D34,'Tournament Details'!$C:$X,22,FALSE)," - ",VLOOKUP(D34,'Tournament Details'!$C:$Y,23,FALSE)," - ",VLOOKUP(D34,'Tournament Details'!$C:$Z,24,FALSE)),""))</f>
        <v/>
      </c>
    </row>
    <row r="35" spans="1:27" ht="15" customHeight="1" thickBot="1" x14ac:dyDescent="0.35">
      <c r="A35" s="224" t="str">
        <f>IF('Tournament Details'!A1&gt;=1,IF(LARGE('Tournament Details'!C7:C86,1)&gt;=34,17,""),"")</f>
        <v/>
      </c>
      <c r="B35" s="42">
        <f t="shared" ref="B35:B66" si="5">IF(Q35="","",(Q35*10000)+K35)</f>
        <v>0</v>
      </c>
      <c r="C35" s="44" t="str">
        <f t="shared" ref="C35:C66" si="6">IF(D35="","",IF(COUNTIF(E:E,E35)=1,RANK(E35,E:E),RANK(F35,F:F)))</f>
        <v/>
      </c>
      <c r="D35" s="66" t="str">
        <f>IF('Tournament Details'!A1&gt;=1,IF('Tournament Details'!C39&lt;=LARGE('Round 3'!$C:$C,1),VLOOKUP(SMALL('Round 3'!$C:$C,33),'Round 3'!$C:$D,2,FALSE),""),"")</f>
        <v/>
      </c>
      <c r="E35" s="44" t="str">
        <f>IF(D35="","",B35+VLOOKUP(D35,'Round 3'!$D:$E,2,FALSE))</f>
        <v/>
      </c>
      <c r="F35" s="44" t="str">
        <f>IF(D35="","",(LARGE('Tournament Details'!$C:$C,1)+1-D35)+E35)</f>
        <v/>
      </c>
      <c r="G35" s="23" t="str">
        <f>D36</f>
        <v/>
      </c>
      <c r="H35" s="25" t="str">
        <f>IF(D35="","",IF(VLOOKUP(D35,'Tournament Details'!$C:$G,5,FALSE)="",D35,VLOOKUP(D35,'Tournament Details'!$C:$G,5,FALSE)))</f>
        <v/>
      </c>
      <c r="I35" s="7" t="str">
        <f>IF(D35=0,"",IF(VLOOKUP(D35,'Tournament Details'!$C:$E,3,FALSE)&gt;0,VLOOKUP(D35,'Tournament Details'!$C:$E,3,FALSE),""))</f>
        <v/>
      </c>
      <c r="J35" s="127"/>
      <c r="K35" s="127"/>
      <c r="L35" s="23"/>
      <c r="M35" s="23"/>
      <c r="N35" s="23"/>
      <c r="O35" s="23"/>
      <c r="P35" s="190">
        <v>0</v>
      </c>
      <c r="Q35" s="183">
        <f t="shared" ref="Q35:Q66" si="7">IF(P35="",0,P35)</f>
        <v>0</v>
      </c>
      <c r="R35" s="135" t="str">
        <f t="shared" ref="R35:R66" si="8">IF(J35="","",IF(J35&gt;16,"!",IF(J35&lt;4,"!","")))</f>
        <v/>
      </c>
      <c r="S35" s="135" t="str">
        <f>IF(Q35="","",IF(Q35+Q36&lt;&gt;20,IF(Q35+Q36&lt;&gt;0,"!",""),""))</f>
        <v/>
      </c>
      <c r="T35" s="21" t="str">
        <f t="shared" ref="T35:T66" si="9">IF(R35="!","!",IF(S35="!","!",""))</f>
        <v/>
      </c>
      <c r="U35" s="132">
        <f>IF(D35="",0,VLOOKUP(D35,'Tournament Details'!$C:$X,22,FALSE))</f>
        <v>0</v>
      </c>
      <c r="V35" s="132">
        <f>IF(D35="",0,VLOOKUP(D35,'Tournament Details'!$C:$Y,23,FALSE))</f>
        <v>0</v>
      </c>
      <c r="W35" s="132">
        <f>IF(D35="",0,VLOOKUP(D35,'Tournament Details'!$C:$Z,24,FALSE))</f>
        <v>0</v>
      </c>
      <c r="X35" s="132">
        <f>IF(D35="",0,VLOOKUP(D35,'Tournament Details'!$C:$AA,25,FALSE))</f>
        <v>0</v>
      </c>
      <c r="Y35" s="40" t="str">
        <f>IF(D35="","",IF(COUNTIF(D:D,D35)&gt;1,"DUPLICATE PLAYER",IF(D36="","NO OPPONENT",IF(D36=U35,"REPEAT MATCHUP",IF(D36=V35,"REPEAT MATCHUP",IF(D36=W35,"REPEAT MATCHUP",IF(H35=H36,"SAME TEAM","")))))))</f>
        <v/>
      </c>
      <c r="Z35" s="40"/>
      <c r="AA35" t="str">
        <f>IF(Y35="NO OPPONENT","",IF(Y35&lt;&gt;"",CONCATENATE("Previous Matchup Player #: ",VLOOKUP(D35,'Tournament Details'!$C:$X,22,FALSE)," - ",VLOOKUP(D35,'Tournament Details'!$C:$Y,23,FALSE)," - ",VLOOKUP(D35,'Tournament Details'!$C:$Z,24,FALSE)),""))</f>
        <v/>
      </c>
    </row>
    <row r="36" spans="1:27" ht="15" customHeight="1" thickBot="1" x14ac:dyDescent="0.35">
      <c r="A36" s="224"/>
      <c r="B36" s="43">
        <f t="shared" si="5"/>
        <v>0</v>
      </c>
      <c r="C36" s="44" t="str">
        <f t="shared" si="6"/>
        <v/>
      </c>
      <c r="D36" s="74" t="str">
        <f>IF('Tournament Details'!A1&gt;=1,IF('Tournament Details'!C40&lt;=LARGE('Round 3'!$C:$C,1),VLOOKUP(SMALL('Round 3'!$C:$C,34),'Round 3'!$C:$D,2,FALSE),""),"")</f>
        <v/>
      </c>
      <c r="E36" s="44" t="str">
        <f>IF(D36="","",B36+VLOOKUP(D36,'Round 3'!$D:$E,2,FALSE))</f>
        <v/>
      </c>
      <c r="F36" s="44" t="str">
        <f>IF(D36="","",(LARGE('Tournament Details'!$C:$C,1)+1-D36)+E36)</f>
        <v/>
      </c>
      <c r="G36" s="24" t="str">
        <f>D35</f>
        <v/>
      </c>
      <c r="H36" s="26" t="str">
        <f>IF(D36="","",IF(VLOOKUP(D36,'Tournament Details'!$C:$G,5,FALSE)="",D36,VLOOKUP(D36,'Tournament Details'!$C:$G,5,FALSE)))</f>
        <v/>
      </c>
      <c r="I36" s="12" t="str">
        <f>IF(D36=0,"",IF(VLOOKUP(D36,'Tournament Details'!$C:$E,3,FALSE)&gt;0,VLOOKUP(D36,'Tournament Details'!$C:$E,3,FALSE),""))</f>
        <v/>
      </c>
      <c r="J36" s="128"/>
      <c r="K36" s="128"/>
      <c r="L36" s="23"/>
      <c r="M36" s="24"/>
      <c r="N36" s="24"/>
      <c r="O36" s="24"/>
      <c r="P36" s="191">
        <v>0</v>
      </c>
      <c r="Q36" s="183">
        <f t="shared" si="7"/>
        <v>0</v>
      </c>
      <c r="R36" s="135" t="str">
        <f t="shared" si="8"/>
        <v/>
      </c>
      <c r="S36" s="135" t="str">
        <f>IF(Q36="","",IF(Q35+Q36&lt;&gt;20,IF(Q35+Q36&lt;&gt;0,"!",""),""))</f>
        <v/>
      </c>
      <c r="T36" s="21" t="str">
        <f t="shared" si="9"/>
        <v/>
      </c>
      <c r="U36" s="132">
        <f>IF(D36="",0,VLOOKUP(D36,'Tournament Details'!$C:$X,22,FALSE))</f>
        <v>0</v>
      </c>
      <c r="V36" s="132">
        <f>IF(D36="",0,VLOOKUP(D36,'Tournament Details'!$C:$Y,23,FALSE))</f>
        <v>0</v>
      </c>
      <c r="W36" s="132">
        <f>IF(D36="",0,VLOOKUP(D36,'Tournament Details'!$C:$Z,24,FALSE))</f>
        <v>0</v>
      </c>
      <c r="X36" s="132">
        <f>IF(D36="",0,VLOOKUP(D36,'Tournament Details'!$C:$AA,25,FALSE))</f>
        <v>0</v>
      </c>
      <c r="Y36" s="40" t="str">
        <f>IF(D36="","",IF(COUNTIF(D:D,D36)&gt;1,"DUPLICATE PLAYER",IF(D35="","NO OPPONENT",IF(D35=U36,"REPEAT MATCHUP",IF(D35=V36,"REPEAT MATCHUP",IF(D35=W36,"REPEAT MATCHUP",IF(H36=H35,"SAME TEAM","")))))))</f>
        <v/>
      </c>
      <c r="Z36" s="40"/>
      <c r="AA36" t="str">
        <f>IF(Y36="NO OPPONENT","",IF(Y36&lt;&gt;"",CONCATENATE("Previous Matchup Player #: ",VLOOKUP(D36,'Tournament Details'!$C:$X,22,FALSE)," - ",VLOOKUP(D36,'Tournament Details'!$C:$Y,23,FALSE)," - ",VLOOKUP(D36,'Tournament Details'!$C:$Z,24,FALSE)),""))</f>
        <v/>
      </c>
    </row>
    <row r="37" spans="1:27" ht="15" customHeight="1" thickBot="1" x14ac:dyDescent="0.35">
      <c r="A37" s="224" t="str">
        <f>IF('Tournament Details'!A1&gt;=1,IF(LARGE('Tournament Details'!C7:C86,1)&gt;=36,18,""),"")</f>
        <v/>
      </c>
      <c r="B37" s="42">
        <f t="shared" si="5"/>
        <v>0</v>
      </c>
      <c r="C37" s="44" t="str">
        <f t="shared" si="6"/>
        <v/>
      </c>
      <c r="D37" s="66" t="str">
        <f>IF('Tournament Details'!A1&gt;=1,IF('Tournament Details'!C41&lt;=LARGE('Round 3'!$C:$C,1),VLOOKUP(SMALL('Round 3'!$C:$C,35),'Round 3'!$C:$D,2,FALSE),""),"")</f>
        <v/>
      </c>
      <c r="E37" s="44" t="str">
        <f>IF(D37="","",B37+VLOOKUP(D37,'Round 3'!$D:$E,2,FALSE))</f>
        <v/>
      </c>
      <c r="F37" s="44" t="str">
        <f>IF(D37="","",(LARGE('Tournament Details'!$C:$C,1)+1-D37)+E37)</f>
        <v/>
      </c>
      <c r="G37" s="23" t="str">
        <f>D38</f>
        <v/>
      </c>
      <c r="H37" s="25" t="str">
        <f>IF(D37="","",IF(VLOOKUP(D37,'Tournament Details'!$C:$G,5,FALSE)="",D37,VLOOKUP(D37,'Tournament Details'!$C:$G,5,FALSE)))</f>
        <v/>
      </c>
      <c r="I37" s="7" t="str">
        <f>IF(D37=0,"",IF(VLOOKUP(D37,'Tournament Details'!$C:$E,3,FALSE)&gt;0,VLOOKUP(D37,'Tournament Details'!$C:$E,3,FALSE),""))</f>
        <v/>
      </c>
      <c r="J37" s="127"/>
      <c r="K37" s="127"/>
      <c r="L37" s="23"/>
      <c r="M37" s="23"/>
      <c r="N37" s="23"/>
      <c r="O37" s="23"/>
      <c r="P37" s="190">
        <v>0</v>
      </c>
      <c r="Q37" s="183">
        <f t="shared" si="7"/>
        <v>0</v>
      </c>
      <c r="R37" s="135" t="str">
        <f t="shared" si="8"/>
        <v/>
      </c>
      <c r="S37" s="135" t="str">
        <f>IF(Q37="","",IF(Q37+Q38&lt;&gt;20,IF(Q37+Q38&lt;&gt;0,"!",""),""))</f>
        <v/>
      </c>
      <c r="T37" s="21" t="str">
        <f t="shared" si="9"/>
        <v/>
      </c>
      <c r="U37" s="132">
        <f>IF(D37="",0,VLOOKUP(D37,'Tournament Details'!$C:$X,22,FALSE))</f>
        <v>0</v>
      </c>
      <c r="V37" s="132">
        <f>IF(D37="",0,VLOOKUP(D37,'Tournament Details'!$C:$Y,23,FALSE))</f>
        <v>0</v>
      </c>
      <c r="W37" s="132">
        <f>IF(D37="",0,VLOOKUP(D37,'Tournament Details'!$C:$Z,24,FALSE))</f>
        <v>0</v>
      </c>
      <c r="X37" s="132">
        <f>IF(D37="",0,VLOOKUP(D37,'Tournament Details'!$C:$AA,25,FALSE))</f>
        <v>0</v>
      </c>
      <c r="Y37" s="40" t="str">
        <f>IF(D37="","",IF(COUNTIF(D:D,D37)&gt;1,"DUPLICATE PLAYER",IF(D38="","NO OPPONENT",IF(D38=U37,"REPEAT MATCHUP",IF(D38=V37,"REPEAT MATCHUP",IF(D38=W37,"REPEAT MATCHUP",IF(H37=H38,"SAME TEAM","")))))))</f>
        <v/>
      </c>
      <c r="Z37" s="40"/>
      <c r="AA37" t="str">
        <f>IF(Y37="NO OPPONENT","",IF(Y37&lt;&gt;"",CONCATENATE("Previous Matchup Player #: ",VLOOKUP(D37,'Tournament Details'!$C:$X,22,FALSE)," - ",VLOOKUP(D37,'Tournament Details'!$C:$Y,23,FALSE)," - ",VLOOKUP(D37,'Tournament Details'!$C:$Z,24,FALSE)),""))</f>
        <v/>
      </c>
    </row>
    <row r="38" spans="1:27" ht="15" customHeight="1" thickBot="1" x14ac:dyDescent="0.35">
      <c r="A38" s="224"/>
      <c r="B38" s="43">
        <f t="shared" si="5"/>
        <v>0</v>
      </c>
      <c r="C38" s="44" t="str">
        <f t="shared" si="6"/>
        <v/>
      </c>
      <c r="D38" s="74" t="str">
        <f>IF('Tournament Details'!A1&gt;=1,IF('Tournament Details'!C42&lt;=LARGE('Round 3'!$C:$C,1),VLOOKUP(SMALL('Round 3'!$C:$C,36),'Round 3'!$C:$D,2,FALSE),""),"")</f>
        <v/>
      </c>
      <c r="E38" s="44" t="str">
        <f>IF(D38="","",B38+VLOOKUP(D38,'Round 3'!$D:$E,2,FALSE))</f>
        <v/>
      </c>
      <c r="F38" s="44" t="str">
        <f>IF(D38="","",(LARGE('Tournament Details'!$C:$C,1)+1-D38)+E38)</f>
        <v/>
      </c>
      <c r="G38" s="24" t="str">
        <f>D37</f>
        <v/>
      </c>
      <c r="H38" s="26" t="str">
        <f>IF(D38="","",IF(VLOOKUP(D38,'Tournament Details'!$C:$G,5,FALSE)="",D38,VLOOKUP(D38,'Tournament Details'!$C:$G,5,FALSE)))</f>
        <v/>
      </c>
      <c r="I38" s="12" t="str">
        <f>IF(D38=0,"",IF(VLOOKUP(D38,'Tournament Details'!$C:$E,3,FALSE)&gt;0,VLOOKUP(D38,'Tournament Details'!$C:$E,3,FALSE),""))</f>
        <v/>
      </c>
      <c r="J38" s="128"/>
      <c r="K38" s="128"/>
      <c r="L38" s="23"/>
      <c r="M38" s="24"/>
      <c r="N38" s="24"/>
      <c r="O38" s="24"/>
      <c r="P38" s="191">
        <v>0</v>
      </c>
      <c r="Q38" s="183">
        <f t="shared" si="7"/>
        <v>0</v>
      </c>
      <c r="R38" s="135" t="str">
        <f t="shared" si="8"/>
        <v/>
      </c>
      <c r="S38" s="135" t="str">
        <f>IF(Q38="","",IF(Q37+Q38&lt;&gt;20,IF(Q37+Q38&lt;&gt;0,"!",""),""))</f>
        <v/>
      </c>
      <c r="T38" s="21" t="str">
        <f t="shared" si="9"/>
        <v/>
      </c>
      <c r="U38" s="132">
        <f>IF(D38="",0,VLOOKUP(D38,'Tournament Details'!$C:$X,22,FALSE))</f>
        <v>0</v>
      </c>
      <c r="V38" s="132">
        <f>IF(D38="",0,VLOOKUP(D38,'Tournament Details'!$C:$Y,23,FALSE))</f>
        <v>0</v>
      </c>
      <c r="W38" s="132">
        <f>IF(D38="",0,VLOOKUP(D38,'Tournament Details'!$C:$Z,24,FALSE))</f>
        <v>0</v>
      </c>
      <c r="X38" s="132">
        <f>IF(D38="",0,VLOOKUP(D38,'Tournament Details'!$C:$AA,25,FALSE))</f>
        <v>0</v>
      </c>
      <c r="Y38" s="40" t="str">
        <f>IF(D38="","",IF(COUNTIF(D:D,D38)&gt;1,"DUPLICATE PLAYER",IF(D37="","NO OPPONENT",IF(D37=U38,"REPEAT MATCHUP",IF(D37=V38,"REPEAT MATCHUP",IF(D37=W38,"REPEAT MATCHUP",IF(H38=H37,"SAME TEAM","")))))))</f>
        <v/>
      </c>
      <c r="Z38" s="40"/>
      <c r="AA38" t="str">
        <f>IF(Y38="NO OPPONENT","",IF(Y38&lt;&gt;"",CONCATENATE("Previous Matchup Player #: ",VLOOKUP(D38,'Tournament Details'!$C:$X,22,FALSE)," - ",VLOOKUP(D38,'Tournament Details'!$C:$Y,23,FALSE)," - ",VLOOKUP(D38,'Tournament Details'!$C:$Z,24,FALSE)),""))</f>
        <v/>
      </c>
    </row>
    <row r="39" spans="1:27" ht="15" customHeight="1" thickBot="1" x14ac:dyDescent="0.35">
      <c r="A39" s="224" t="str">
        <f>IF('Tournament Details'!A1&gt;=1,IF(LARGE('Tournament Details'!C7:C86,1)&gt;=38,19,""),"")</f>
        <v/>
      </c>
      <c r="B39" s="42">
        <f t="shared" si="5"/>
        <v>0</v>
      </c>
      <c r="C39" s="44" t="str">
        <f t="shared" si="6"/>
        <v/>
      </c>
      <c r="D39" s="66" t="str">
        <f>IF('Tournament Details'!A1&gt;=1,IF('Tournament Details'!C43&lt;=LARGE('Round 3'!$C:$C,1),VLOOKUP(SMALL('Round 3'!$C:$C,37),'Round 3'!$C:$D,2,FALSE),""),"")</f>
        <v/>
      </c>
      <c r="E39" s="44" t="str">
        <f>IF(D39="","",B39+VLOOKUP(D39,'Round 3'!$D:$E,2,FALSE))</f>
        <v/>
      </c>
      <c r="F39" s="44" t="str">
        <f>IF(D39="","",(LARGE('Tournament Details'!$C:$C,1)+1-D39)+E39)</f>
        <v/>
      </c>
      <c r="G39" s="23" t="str">
        <f>D40</f>
        <v/>
      </c>
      <c r="H39" s="25" t="str">
        <f>IF(D39="","",IF(VLOOKUP(D39,'Tournament Details'!$C:$G,5,FALSE)="",D39,VLOOKUP(D39,'Tournament Details'!$C:$G,5,FALSE)))</f>
        <v/>
      </c>
      <c r="I39" s="7" t="str">
        <f>IF(D39=0,"",IF(VLOOKUP(D39,'Tournament Details'!$C:$E,3,FALSE)&gt;0,VLOOKUP(D39,'Tournament Details'!$C:$E,3,FALSE),""))</f>
        <v/>
      </c>
      <c r="J39" s="127"/>
      <c r="K39" s="127"/>
      <c r="L39" s="23"/>
      <c r="M39" s="23"/>
      <c r="N39" s="23"/>
      <c r="O39" s="23"/>
      <c r="P39" s="190">
        <v>0</v>
      </c>
      <c r="Q39" s="183">
        <f t="shared" si="7"/>
        <v>0</v>
      </c>
      <c r="R39" s="135" t="str">
        <f t="shared" si="8"/>
        <v/>
      </c>
      <c r="S39" s="135" t="str">
        <f>IF(Q39="","",IF(Q39+Q40&lt;&gt;20,IF(Q39+Q40&lt;&gt;0,"!",""),""))</f>
        <v/>
      </c>
      <c r="T39" s="21" t="str">
        <f t="shared" si="9"/>
        <v/>
      </c>
      <c r="U39" s="132">
        <f>IF(D39="",0,VLOOKUP(D39,'Tournament Details'!$C:$X,22,FALSE))</f>
        <v>0</v>
      </c>
      <c r="V39" s="132">
        <f>IF(D39="",0,VLOOKUP(D39,'Tournament Details'!$C:$Y,23,FALSE))</f>
        <v>0</v>
      </c>
      <c r="W39" s="132">
        <f>IF(D39="",0,VLOOKUP(D39,'Tournament Details'!$C:$Z,24,FALSE))</f>
        <v>0</v>
      </c>
      <c r="X39" s="132">
        <f>IF(D39="",0,VLOOKUP(D39,'Tournament Details'!$C:$AA,25,FALSE))</f>
        <v>0</v>
      </c>
      <c r="Y39" s="40" t="str">
        <f>IF(D39="","",IF(COUNTIF(D:D,D39)&gt;1,"DUPLICATE PLAYER",IF(D40="","NO OPPONENT",IF(D40=U39,"REPEAT MATCHUP",IF(D40=V39,"REPEAT MATCHUP",IF(D40=W39,"REPEAT MATCHUP",IF(H39=H40,"SAME TEAM","")))))))</f>
        <v/>
      </c>
      <c r="Z39" s="40"/>
      <c r="AA39" t="str">
        <f>IF(Y39="NO OPPONENT","",IF(Y39&lt;&gt;"",CONCATENATE("Previous Matchup Player #: ",VLOOKUP(D39,'Tournament Details'!$C:$X,22,FALSE)," - ",VLOOKUP(D39,'Tournament Details'!$C:$Y,23,FALSE)," - ",VLOOKUP(D39,'Tournament Details'!$C:$Z,24,FALSE)),""))</f>
        <v/>
      </c>
    </row>
    <row r="40" spans="1:27" ht="15" customHeight="1" thickBot="1" x14ac:dyDescent="0.35">
      <c r="A40" s="224"/>
      <c r="B40" s="43">
        <f t="shared" si="5"/>
        <v>0</v>
      </c>
      <c r="C40" s="44" t="str">
        <f t="shared" si="6"/>
        <v/>
      </c>
      <c r="D40" s="74" t="str">
        <f>IF('Tournament Details'!A1&gt;=1,IF('Tournament Details'!C44&lt;=LARGE('Round 3'!$C:$C,1),VLOOKUP(SMALL('Round 3'!$C:$C,38),'Round 3'!$C:$D,2,FALSE),""),"")</f>
        <v/>
      </c>
      <c r="E40" s="44" t="str">
        <f>IF(D40="","",B40+VLOOKUP(D40,'Round 3'!$D:$E,2,FALSE))</f>
        <v/>
      </c>
      <c r="F40" s="44" t="str">
        <f>IF(D40="","",(LARGE('Tournament Details'!$C:$C,1)+1-D40)+E40)</f>
        <v/>
      </c>
      <c r="G40" s="24" t="str">
        <f>D39</f>
        <v/>
      </c>
      <c r="H40" s="26" t="str">
        <f>IF(D40="","",IF(VLOOKUP(D40,'Tournament Details'!$C:$G,5,FALSE)="",D40,VLOOKUP(D40,'Tournament Details'!$C:$G,5,FALSE)))</f>
        <v/>
      </c>
      <c r="I40" s="12" t="str">
        <f>IF(D40=0,"",IF(VLOOKUP(D40,'Tournament Details'!$C:$E,3,FALSE)&gt;0,VLOOKUP(D40,'Tournament Details'!$C:$E,3,FALSE),""))</f>
        <v/>
      </c>
      <c r="J40" s="128"/>
      <c r="K40" s="128"/>
      <c r="L40" s="23"/>
      <c r="M40" s="24"/>
      <c r="N40" s="24"/>
      <c r="O40" s="24"/>
      <c r="P40" s="191">
        <v>0</v>
      </c>
      <c r="Q40" s="183">
        <f t="shared" si="7"/>
        <v>0</v>
      </c>
      <c r="R40" s="135" t="str">
        <f t="shared" si="8"/>
        <v/>
      </c>
      <c r="S40" s="135" t="str">
        <f>IF(Q40="","",IF(Q39+Q40&lt;&gt;20,IF(Q39+Q40&lt;&gt;0,"!",""),""))</f>
        <v/>
      </c>
      <c r="T40" s="21" t="str">
        <f t="shared" si="9"/>
        <v/>
      </c>
      <c r="U40" s="132">
        <f>IF(D40="",0,VLOOKUP(D40,'Tournament Details'!$C:$X,22,FALSE))</f>
        <v>0</v>
      </c>
      <c r="V40" s="132">
        <f>IF(D40="",0,VLOOKUP(D40,'Tournament Details'!$C:$Y,23,FALSE))</f>
        <v>0</v>
      </c>
      <c r="W40" s="132">
        <f>IF(D40="",0,VLOOKUP(D40,'Tournament Details'!$C:$Z,24,FALSE))</f>
        <v>0</v>
      </c>
      <c r="X40" s="132">
        <f>IF(D40="",0,VLOOKUP(D40,'Tournament Details'!$C:$AA,25,FALSE))</f>
        <v>0</v>
      </c>
      <c r="Y40" s="40" t="str">
        <f>IF(D40="","",IF(COUNTIF(D:D,D40)&gt;1,"DUPLICATE PLAYER",IF(D39="","NO OPPONENT",IF(D39=U40,"REPEAT MATCHUP",IF(D39=V40,"REPEAT MATCHUP",IF(D39=W40,"REPEAT MATCHUP",IF(H40=H39,"SAME TEAM","")))))))</f>
        <v/>
      </c>
      <c r="Z40" s="40"/>
      <c r="AA40" t="str">
        <f>IF(Y40="NO OPPONENT","",IF(Y40&lt;&gt;"",CONCATENATE("Previous Matchup Player #: ",VLOOKUP(D40,'Tournament Details'!$C:$X,22,FALSE)," - ",VLOOKUP(D40,'Tournament Details'!$C:$Y,23,FALSE)," - ",VLOOKUP(D40,'Tournament Details'!$C:$Z,24,FALSE)),""))</f>
        <v/>
      </c>
    </row>
    <row r="41" spans="1:27" ht="15" customHeight="1" thickBot="1" x14ac:dyDescent="0.35">
      <c r="A41" s="224" t="str">
        <f>IF('Tournament Details'!A1&gt;=1,IF(LARGE('Tournament Details'!C7:C86,1)&gt;=40,20,""),"")</f>
        <v/>
      </c>
      <c r="B41" s="42">
        <f t="shared" si="5"/>
        <v>0</v>
      </c>
      <c r="C41" s="44" t="str">
        <f t="shared" si="6"/>
        <v/>
      </c>
      <c r="D41" s="66" t="str">
        <f>IF('Tournament Details'!A1&gt;=1,IF('Tournament Details'!C45&lt;=LARGE('Round 3'!$C:$C,1),VLOOKUP(SMALL('Round 3'!$C:$C,39),'Round 3'!$C:$D,2,FALSE),""),"")</f>
        <v/>
      </c>
      <c r="E41" s="44" t="str">
        <f>IF(D41="","",B41+VLOOKUP(D41,'Round 3'!$D:$E,2,FALSE))</f>
        <v/>
      </c>
      <c r="F41" s="44" t="str">
        <f>IF(D41="","",(LARGE('Tournament Details'!$C:$C,1)+1-D41)+E41)</f>
        <v/>
      </c>
      <c r="G41" s="23" t="str">
        <f>D42</f>
        <v/>
      </c>
      <c r="H41" s="25" t="str">
        <f>IF(D41="","",IF(VLOOKUP(D41,'Tournament Details'!$C:$G,5,FALSE)="",D41,VLOOKUP(D41,'Tournament Details'!$C:$G,5,FALSE)))</f>
        <v/>
      </c>
      <c r="I41" s="7" t="str">
        <f>IF(D41=0,"",IF(VLOOKUP(D41,'Tournament Details'!$C:$E,3,FALSE)&gt;0,VLOOKUP(D41,'Tournament Details'!$C:$E,3,FALSE),""))</f>
        <v/>
      </c>
      <c r="J41" s="127"/>
      <c r="K41" s="127"/>
      <c r="L41" s="23"/>
      <c r="M41" s="23"/>
      <c r="N41" s="23"/>
      <c r="O41" s="23"/>
      <c r="P41" s="190">
        <v>0</v>
      </c>
      <c r="Q41" s="183">
        <f t="shared" si="7"/>
        <v>0</v>
      </c>
      <c r="R41" s="135" t="str">
        <f t="shared" si="8"/>
        <v/>
      </c>
      <c r="S41" s="135" t="str">
        <f>IF(Q41="","",IF(Q41+Q42&lt;&gt;20,IF(Q41+Q42&lt;&gt;0,"!",""),""))</f>
        <v/>
      </c>
      <c r="T41" s="21" t="str">
        <f t="shared" si="9"/>
        <v/>
      </c>
      <c r="U41" s="132">
        <f>IF(D41="",0,VLOOKUP(D41,'Tournament Details'!$C:$X,22,FALSE))</f>
        <v>0</v>
      </c>
      <c r="V41" s="132">
        <f>IF(D41="",0,VLOOKUP(D41,'Tournament Details'!$C:$Y,23,FALSE))</f>
        <v>0</v>
      </c>
      <c r="W41" s="132">
        <f>IF(D41="",0,VLOOKUP(D41,'Tournament Details'!$C:$Z,24,FALSE))</f>
        <v>0</v>
      </c>
      <c r="X41" s="132">
        <f>IF(D41="",0,VLOOKUP(D41,'Tournament Details'!$C:$AA,25,FALSE))</f>
        <v>0</v>
      </c>
      <c r="Y41" s="40" t="str">
        <f>IF(D41="","",IF(COUNTIF(D:D,D41)&gt;1,"DUPLICATE PLAYER",IF(D42="","NO OPPONENT",IF(D42=U41,"REPEAT MATCHUP",IF(D42=V41,"REPEAT MATCHUP",IF(D42=W41,"REPEAT MATCHUP",IF(H41=H42,"SAME TEAM","")))))))</f>
        <v/>
      </c>
      <c r="Z41" s="40"/>
      <c r="AA41" t="str">
        <f>IF(Y41="NO OPPONENT","",IF(Y41&lt;&gt;"",CONCATENATE("Previous Matchup Player #: ",VLOOKUP(D41,'Tournament Details'!$C:$X,22,FALSE)," - ",VLOOKUP(D41,'Tournament Details'!$C:$Y,23,FALSE)," - ",VLOOKUP(D41,'Tournament Details'!$C:$Z,24,FALSE)),""))</f>
        <v/>
      </c>
    </row>
    <row r="42" spans="1:27" ht="15" customHeight="1" thickBot="1" x14ac:dyDescent="0.35">
      <c r="A42" s="224"/>
      <c r="B42" s="43">
        <f t="shared" si="5"/>
        <v>0</v>
      </c>
      <c r="C42" s="44" t="str">
        <f t="shared" si="6"/>
        <v/>
      </c>
      <c r="D42" s="74" t="str">
        <f>IF('Tournament Details'!A1&gt;=1,IF('Tournament Details'!C46&lt;=LARGE('Round 3'!$C:$C,1),VLOOKUP(SMALL('Round 3'!$C:$C,40),'Round 3'!$C:$D,2,FALSE),""),"")</f>
        <v/>
      </c>
      <c r="E42" s="44" t="str">
        <f>IF(D42="","",B42+VLOOKUP(D42,'Round 3'!$D:$E,2,FALSE))</f>
        <v/>
      </c>
      <c r="F42" s="44" t="str">
        <f>IF(D42="","",(LARGE('Tournament Details'!$C:$C,1)+1-D42)+E42)</f>
        <v/>
      </c>
      <c r="G42" s="24" t="str">
        <f>D41</f>
        <v/>
      </c>
      <c r="H42" s="26" t="str">
        <f>IF(D42="","",IF(VLOOKUP(D42,'Tournament Details'!$C:$G,5,FALSE)="",D42,VLOOKUP(D42,'Tournament Details'!$C:$G,5,FALSE)))</f>
        <v/>
      </c>
      <c r="I42" s="12" t="str">
        <f>IF(D42=0,"",IF(VLOOKUP(D42,'Tournament Details'!$C:$E,3,FALSE)&gt;0,VLOOKUP(D42,'Tournament Details'!$C:$E,3,FALSE),""))</f>
        <v/>
      </c>
      <c r="J42" s="128"/>
      <c r="K42" s="128"/>
      <c r="L42" s="23"/>
      <c r="M42" s="24"/>
      <c r="N42" s="24"/>
      <c r="O42" s="24"/>
      <c r="P42" s="191">
        <v>0</v>
      </c>
      <c r="Q42" s="183">
        <f t="shared" si="7"/>
        <v>0</v>
      </c>
      <c r="R42" s="135" t="str">
        <f t="shared" si="8"/>
        <v/>
      </c>
      <c r="S42" s="135" t="str">
        <f>IF(Q42="","",IF(Q41+Q42&lt;&gt;20,IF(Q41+Q42&lt;&gt;0,"!",""),""))</f>
        <v/>
      </c>
      <c r="T42" s="21" t="str">
        <f t="shared" si="9"/>
        <v/>
      </c>
      <c r="U42" s="132">
        <f>IF(D42="",0,VLOOKUP(D42,'Tournament Details'!$C:$X,22,FALSE))</f>
        <v>0</v>
      </c>
      <c r="V42" s="132">
        <f>IF(D42="",0,VLOOKUP(D42,'Tournament Details'!$C:$Y,23,FALSE))</f>
        <v>0</v>
      </c>
      <c r="W42" s="132">
        <f>IF(D42="",0,VLOOKUP(D42,'Tournament Details'!$C:$Z,24,FALSE))</f>
        <v>0</v>
      </c>
      <c r="X42" s="132">
        <f>IF(D42="",0,VLOOKUP(D42,'Tournament Details'!$C:$AA,25,FALSE))</f>
        <v>0</v>
      </c>
      <c r="Y42" s="40" t="str">
        <f>IF(D42="","",IF(COUNTIF(D:D,D42)&gt;1,"DUPLICATE PLAYER",IF(D41="","NO OPPONENT",IF(D41=U42,"REPEAT MATCHUP",IF(D41=V42,"REPEAT MATCHUP",IF(D41=W42,"REPEAT MATCHUP",IF(H42=H41,"SAME TEAM","")))))))</f>
        <v/>
      </c>
      <c r="Z42" s="40"/>
      <c r="AA42" t="str">
        <f>IF(Y42="NO OPPONENT","",IF(Y42&lt;&gt;"",CONCATENATE("Previous Matchup Player #: ",VLOOKUP(D42,'Tournament Details'!$C:$X,22,FALSE)," - ",VLOOKUP(D42,'Tournament Details'!$C:$Y,23,FALSE)," - ",VLOOKUP(D42,'Tournament Details'!$C:$Z,24,FALSE)),""))</f>
        <v/>
      </c>
    </row>
    <row r="43" spans="1:27" ht="15" customHeight="1" thickBot="1" x14ac:dyDescent="0.35">
      <c r="A43" s="224" t="str">
        <f>IF('Tournament Details'!A1&gt;=1,IF(LARGE('Tournament Details'!C7:C86,1)&gt;=42,21,""),"")</f>
        <v/>
      </c>
      <c r="B43" s="42">
        <f t="shared" si="5"/>
        <v>0</v>
      </c>
      <c r="C43" s="44" t="str">
        <f t="shared" si="6"/>
        <v/>
      </c>
      <c r="D43" s="66" t="str">
        <f>IF('Tournament Details'!A1&gt;=1,IF('Tournament Details'!C47&lt;=LARGE('Round 3'!$C:$C,1),VLOOKUP(SMALL('Round 3'!$C:$C,41),'Round 3'!$C:$D,2,FALSE),""),"")</f>
        <v/>
      </c>
      <c r="E43" s="44" t="str">
        <f>IF(D43="","",B43+VLOOKUP(D43,'Round 3'!$D:$E,2,FALSE))</f>
        <v/>
      </c>
      <c r="F43" s="44" t="str">
        <f>IF(D43="","",(LARGE('Tournament Details'!$C:$C,1)+1-D43)+E43)</f>
        <v/>
      </c>
      <c r="G43" s="23" t="str">
        <f>D44</f>
        <v/>
      </c>
      <c r="H43" s="25" t="str">
        <f>IF(D43="","",IF(VLOOKUP(D43,'Tournament Details'!$C:$G,5,FALSE)="",D43,VLOOKUP(D43,'Tournament Details'!$C:$G,5,FALSE)))</f>
        <v/>
      </c>
      <c r="I43" s="7" t="str">
        <f>IF(D43=0,"",IF(VLOOKUP(D43,'Tournament Details'!$C:$E,3,FALSE)&gt;0,VLOOKUP(D43,'Tournament Details'!$C:$E,3,FALSE),""))</f>
        <v/>
      </c>
      <c r="J43" s="127"/>
      <c r="K43" s="127"/>
      <c r="L43" s="23"/>
      <c r="M43" s="23"/>
      <c r="N43" s="23"/>
      <c r="O43" s="23"/>
      <c r="P43" s="190">
        <v>0</v>
      </c>
      <c r="Q43" s="183">
        <f t="shared" si="7"/>
        <v>0</v>
      </c>
      <c r="R43" s="135" t="str">
        <f t="shared" si="8"/>
        <v/>
      </c>
      <c r="S43" s="135" t="str">
        <f>IF(Q43="","",IF(Q43+Q44&lt;&gt;20,IF(Q43+Q44&lt;&gt;0,"!",""),""))</f>
        <v/>
      </c>
      <c r="T43" s="21" t="str">
        <f t="shared" si="9"/>
        <v/>
      </c>
      <c r="U43" s="132">
        <f>IF(D43="",0,VLOOKUP(D43,'Tournament Details'!$C:$X,22,FALSE))</f>
        <v>0</v>
      </c>
      <c r="V43" s="132">
        <f>IF(D43="",0,VLOOKUP(D43,'Tournament Details'!$C:$Y,23,FALSE))</f>
        <v>0</v>
      </c>
      <c r="W43" s="132">
        <f>IF(D43="",0,VLOOKUP(D43,'Tournament Details'!$C:$Z,24,FALSE))</f>
        <v>0</v>
      </c>
      <c r="X43" s="132">
        <f>IF(D43="",0,VLOOKUP(D43,'Tournament Details'!$C:$AA,25,FALSE))</f>
        <v>0</v>
      </c>
      <c r="Y43" s="40" t="str">
        <f>IF(D43="","",IF(COUNTIF(D:D,D43)&gt;1,"DUPLICATE PLAYER",IF(D44="","NO OPPONENT",IF(D44=U43,"REPEAT MATCHUP",IF(D44=V43,"REPEAT MATCHUP",IF(D44=W43,"REPEAT MATCHUP",IF(H43=H44,"SAME TEAM","")))))))</f>
        <v/>
      </c>
      <c r="Z43" s="40"/>
      <c r="AA43" t="str">
        <f>IF(Y43="NO OPPONENT","",IF(Y43&lt;&gt;"",CONCATENATE("Previous Matchup Player #: ",VLOOKUP(D43,'Tournament Details'!$C:$X,22,FALSE)," - ",VLOOKUP(D43,'Tournament Details'!$C:$Y,23,FALSE)," - ",VLOOKUP(D43,'Tournament Details'!$C:$Z,24,FALSE)),""))</f>
        <v/>
      </c>
    </row>
    <row r="44" spans="1:27" ht="15" customHeight="1" thickBot="1" x14ac:dyDescent="0.35">
      <c r="A44" s="224"/>
      <c r="B44" s="43">
        <f t="shared" si="5"/>
        <v>0</v>
      </c>
      <c r="C44" s="44" t="str">
        <f t="shared" si="6"/>
        <v/>
      </c>
      <c r="D44" s="74" t="str">
        <f>IF('Tournament Details'!A1&gt;=1,IF('Tournament Details'!C48&lt;=LARGE('Round 3'!$C:$C,1),VLOOKUP(SMALL('Round 3'!$C:$C,42),'Round 3'!$C:$D,2,FALSE),""),"")</f>
        <v/>
      </c>
      <c r="E44" s="44" t="str">
        <f>IF(D44="","",B44+VLOOKUP(D44,'Round 3'!$D:$E,2,FALSE))</f>
        <v/>
      </c>
      <c r="F44" s="44" t="str">
        <f>IF(D44="","",(LARGE('Tournament Details'!$C:$C,1)+1-D44)+E44)</f>
        <v/>
      </c>
      <c r="G44" s="24" t="str">
        <f>D43</f>
        <v/>
      </c>
      <c r="H44" s="26" t="str">
        <f>IF(D44="","",IF(VLOOKUP(D44,'Tournament Details'!$C:$G,5,FALSE)="",D44,VLOOKUP(D44,'Tournament Details'!$C:$G,5,FALSE)))</f>
        <v/>
      </c>
      <c r="I44" s="12" t="str">
        <f>IF(D44=0,"",IF(VLOOKUP(D44,'Tournament Details'!$C:$E,3,FALSE)&gt;0,VLOOKUP(D44,'Tournament Details'!$C:$E,3,FALSE),""))</f>
        <v/>
      </c>
      <c r="J44" s="128"/>
      <c r="K44" s="128"/>
      <c r="L44" s="23"/>
      <c r="M44" s="24"/>
      <c r="N44" s="24"/>
      <c r="O44" s="24"/>
      <c r="P44" s="191">
        <v>0</v>
      </c>
      <c r="Q44" s="183">
        <f t="shared" si="7"/>
        <v>0</v>
      </c>
      <c r="R44" s="135" t="str">
        <f t="shared" si="8"/>
        <v/>
      </c>
      <c r="S44" s="135" t="str">
        <f>IF(Q44="","",IF(Q43+Q44&lt;&gt;20,IF(Q43+Q44&lt;&gt;0,"!",""),""))</f>
        <v/>
      </c>
      <c r="T44" s="21" t="str">
        <f t="shared" si="9"/>
        <v/>
      </c>
      <c r="U44" s="132">
        <f>IF(D44="",0,VLOOKUP(D44,'Tournament Details'!$C:$X,22,FALSE))</f>
        <v>0</v>
      </c>
      <c r="V44" s="132">
        <f>IF(D44="",0,VLOOKUP(D44,'Tournament Details'!$C:$Y,23,FALSE))</f>
        <v>0</v>
      </c>
      <c r="W44" s="132">
        <f>IF(D44="",0,VLOOKUP(D44,'Tournament Details'!$C:$Z,24,FALSE))</f>
        <v>0</v>
      </c>
      <c r="X44" s="132">
        <f>IF(D44="",0,VLOOKUP(D44,'Tournament Details'!$C:$AA,25,FALSE))</f>
        <v>0</v>
      </c>
      <c r="Y44" s="40" t="str">
        <f>IF(D44="","",IF(COUNTIF(D:D,D44)&gt;1,"DUPLICATE PLAYER",IF(D43="","NO OPPONENT",IF(D43=U44,"REPEAT MATCHUP",IF(D43=V44,"REPEAT MATCHUP",IF(D43=W44,"REPEAT MATCHUP",IF(H44=H43,"SAME TEAM","")))))))</f>
        <v/>
      </c>
      <c r="Z44" s="40"/>
      <c r="AA44" t="str">
        <f>IF(Y44="NO OPPONENT","",IF(Y44&lt;&gt;"",CONCATENATE("Previous Matchup Player #: ",VLOOKUP(D44,'Tournament Details'!$C:$X,22,FALSE)," - ",VLOOKUP(D44,'Tournament Details'!$C:$Y,23,FALSE)," - ",VLOOKUP(D44,'Tournament Details'!$C:$Z,24,FALSE)),""))</f>
        <v/>
      </c>
    </row>
    <row r="45" spans="1:27" ht="15" customHeight="1" thickBot="1" x14ac:dyDescent="0.35">
      <c r="A45" s="224" t="str">
        <f>IF('Tournament Details'!A1&gt;=1,IF(LARGE('Tournament Details'!C7:C86,1)&gt;=44,22,""),"")</f>
        <v/>
      </c>
      <c r="B45" s="42">
        <f t="shared" si="5"/>
        <v>0</v>
      </c>
      <c r="C45" s="44" t="str">
        <f t="shared" si="6"/>
        <v/>
      </c>
      <c r="D45" s="66" t="str">
        <f>IF('Tournament Details'!A1&gt;=1,IF('Tournament Details'!C49&lt;=LARGE('Round 3'!$C:$C,1),VLOOKUP(SMALL('Round 3'!$C:$C,43),'Round 3'!$C:$D,2,FALSE),""),"")</f>
        <v/>
      </c>
      <c r="E45" s="44" t="str">
        <f>IF(D45="","",B45+VLOOKUP(D45,'Round 3'!$D:$E,2,FALSE))</f>
        <v/>
      </c>
      <c r="F45" s="44" t="str">
        <f>IF(D45="","",(LARGE('Tournament Details'!$C:$C,1)+1-D45)+E45)</f>
        <v/>
      </c>
      <c r="G45" s="23" t="str">
        <f>D46</f>
        <v/>
      </c>
      <c r="H45" s="25" t="str">
        <f>IF(D45="","",IF(VLOOKUP(D45,'Tournament Details'!$C:$G,5,FALSE)="",D45,VLOOKUP(D45,'Tournament Details'!$C:$G,5,FALSE)))</f>
        <v/>
      </c>
      <c r="I45" s="7" t="str">
        <f>IF(D45=0,"",IF(VLOOKUP(D45,'Tournament Details'!$C:$E,3,FALSE)&gt;0,VLOOKUP(D45,'Tournament Details'!$C:$E,3,FALSE),""))</f>
        <v/>
      </c>
      <c r="J45" s="127"/>
      <c r="K45" s="127"/>
      <c r="L45" s="23"/>
      <c r="M45" s="23"/>
      <c r="N45" s="23"/>
      <c r="O45" s="23"/>
      <c r="P45" s="190">
        <v>0</v>
      </c>
      <c r="Q45" s="183">
        <f t="shared" si="7"/>
        <v>0</v>
      </c>
      <c r="R45" s="135" t="str">
        <f t="shared" si="8"/>
        <v/>
      </c>
      <c r="S45" s="135" t="str">
        <f>IF(Q45="","",IF(Q45+Q46&lt;&gt;20,IF(Q45+Q46&lt;&gt;0,"!",""),""))</f>
        <v/>
      </c>
      <c r="T45" s="21" t="str">
        <f t="shared" si="9"/>
        <v/>
      </c>
      <c r="U45" s="132">
        <f>IF(D45="",0,VLOOKUP(D45,'Tournament Details'!$C:$X,22,FALSE))</f>
        <v>0</v>
      </c>
      <c r="V45" s="132">
        <f>IF(D45="",0,VLOOKUP(D45,'Tournament Details'!$C:$Y,23,FALSE))</f>
        <v>0</v>
      </c>
      <c r="W45" s="132">
        <f>IF(D45="",0,VLOOKUP(D45,'Tournament Details'!$C:$Z,24,FALSE))</f>
        <v>0</v>
      </c>
      <c r="X45" s="132">
        <f>IF(D45="",0,VLOOKUP(D45,'Tournament Details'!$C:$AA,25,FALSE))</f>
        <v>0</v>
      </c>
      <c r="Y45" s="40" t="str">
        <f>IF(D45="","",IF(COUNTIF(D:D,D45)&gt;1,"DUPLICATE PLAYER",IF(D46="","NO OPPONENT",IF(D46=U45,"REPEAT MATCHUP",IF(D46=V45,"REPEAT MATCHUP",IF(D46=W45,"REPEAT MATCHUP",IF(H45=H46,"SAME TEAM","")))))))</f>
        <v/>
      </c>
      <c r="Z45" s="40"/>
      <c r="AA45" t="str">
        <f>IF(Y45="NO OPPONENT","",IF(Y45&lt;&gt;"",CONCATENATE("Previous Matchup Player #: ",VLOOKUP(D45,'Tournament Details'!$C:$X,22,FALSE)," - ",VLOOKUP(D45,'Tournament Details'!$C:$Y,23,FALSE)," - ",VLOOKUP(D45,'Tournament Details'!$C:$Z,24,FALSE)),""))</f>
        <v/>
      </c>
    </row>
    <row r="46" spans="1:27" ht="15" customHeight="1" thickBot="1" x14ac:dyDescent="0.35">
      <c r="A46" s="224"/>
      <c r="B46" s="43">
        <f t="shared" si="5"/>
        <v>0</v>
      </c>
      <c r="C46" s="44" t="str">
        <f t="shared" si="6"/>
        <v/>
      </c>
      <c r="D46" s="74" t="str">
        <f>IF('Tournament Details'!A1&gt;=1,IF('Tournament Details'!C50&lt;=LARGE('Round 3'!$C:$C,1),VLOOKUP(SMALL('Round 3'!$C:$C,44),'Round 3'!$C:$D,2,FALSE),""),"")</f>
        <v/>
      </c>
      <c r="E46" s="44" t="str">
        <f>IF(D46="","",B46+VLOOKUP(D46,'Round 3'!$D:$E,2,FALSE))</f>
        <v/>
      </c>
      <c r="F46" s="44" t="str">
        <f>IF(D46="","",(LARGE('Tournament Details'!$C:$C,1)+1-D46)+E46)</f>
        <v/>
      </c>
      <c r="G46" s="24" t="str">
        <f>D45</f>
        <v/>
      </c>
      <c r="H46" s="26" t="str">
        <f>IF(D46="","",IF(VLOOKUP(D46,'Tournament Details'!$C:$G,5,FALSE)="",D46,VLOOKUP(D46,'Tournament Details'!$C:$G,5,FALSE)))</f>
        <v/>
      </c>
      <c r="I46" s="12" t="str">
        <f>IF(D46=0,"",IF(VLOOKUP(D46,'Tournament Details'!$C:$E,3,FALSE)&gt;0,VLOOKUP(D46,'Tournament Details'!$C:$E,3,FALSE),""))</f>
        <v/>
      </c>
      <c r="J46" s="128"/>
      <c r="K46" s="128"/>
      <c r="L46" s="23"/>
      <c r="M46" s="24"/>
      <c r="N46" s="24"/>
      <c r="O46" s="24"/>
      <c r="P46" s="191">
        <v>0</v>
      </c>
      <c r="Q46" s="183">
        <f t="shared" si="7"/>
        <v>0</v>
      </c>
      <c r="R46" s="135" t="str">
        <f t="shared" si="8"/>
        <v/>
      </c>
      <c r="S46" s="135" t="str">
        <f>IF(Q46="","",IF(Q45+Q46&lt;&gt;20,IF(Q45+Q46&lt;&gt;0,"!",""),""))</f>
        <v/>
      </c>
      <c r="T46" s="21" t="str">
        <f t="shared" si="9"/>
        <v/>
      </c>
      <c r="U46" s="132">
        <f>IF(D46="",0,VLOOKUP(D46,'Tournament Details'!$C:$X,22,FALSE))</f>
        <v>0</v>
      </c>
      <c r="V46" s="132">
        <f>IF(D46="",0,VLOOKUP(D46,'Tournament Details'!$C:$Y,23,FALSE))</f>
        <v>0</v>
      </c>
      <c r="W46" s="132">
        <f>IF(D46="",0,VLOOKUP(D46,'Tournament Details'!$C:$Z,24,FALSE))</f>
        <v>0</v>
      </c>
      <c r="X46" s="132">
        <f>IF(D46="",0,VLOOKUP(D46,'Tournament Details'!$C:$AA,25,FALSE))</f>
        <v>0</v>
      </c>
      <c r="Y46" s="40" t="str">
        <f>IF(D46="","",IF(COUNTIF(D:D,D46)&gt;1,"DUPLICATE PLAYER",IF(D45="","NO OPPONENT",IF(D45=U46,"REPEAT MATCHUP",IF(D45=V46,"REPEAT MATCHUP",IF(D45=W46,"REPEAT MATCHUP",IF(H46=H45,"SAME TEAM","")))))))</f>
        <v/>
      </c>
      <c r="Z46" s="40"/>
      <c r="AA46" t="str">
        <f>IF(Y46="NO OPPONENT","",IF(Y46&lt;&gt;"",CONCATENATE("Previous Matchup Player #: ",VLOOKUP(D46,'Tournament Details'!$C:$X,22,FALSE)," - ",VLOOKUP(D46,'Tournament Details'!$C:$Y,23,FALSE)," - ",VLOOKUP(D46,'Tournament Details'!$C:$Z,24,FALSE)),""))</f>
        <v/>
      </c>
    </row>
    <row r="47" spans="1:27" ht="15" customHeight="1" thickBot="1" x14ac:dyDescent="0.35">
      <c r="A47" s="224" t="str">
        <f>IF('Tournament Details'!A1&gt;=1,IF(LARGE('Tournament Details'!C7:C86,1)&gt;=46,23,""),"")</f>
        <v/>
      </c>
      <c r="B47" s="42">
        <f t="shared" si="5"/>
        <v>0</v>
      </c>
      <c r="C47" s="44" t="str">
        <f t="shared" si="6"/>
        <v/>
      </c>
      <c r="D47" s="66" t="str">
        <f>IF('Tournament Details'!A1&gt;=1,IF('Tournament Details'!C51&lt;=LARGE('Round 3'!$C:$C,1),VLOOKUP(SMALL('Round 3'!$C:$C,45),'Round 3'!$C:$D,2,FALSE),""),"")</f>
        <v/>
      </c>
      <c r="E47" s="44" t="str">
        <f>IF(D47="","",B47+VLOOKUP(D47,'Round 3'!$D:$E,2,FALSE))</f>
        <v/>
      </c>
      <c r="F47" s="44" t="str">
        <f>IF(D47="","",(LARGE('Tournament Details'!$C:$C,1)+1-D47)+E47)</f>
        <v/>
      </c>
      <c r="G47" s="23" t="str">
        <f>D48</f>
        <v/>
      </c>
      <c r="H47" s="25" t="str">
        <f>IF(D47="","",IF(VLOOKUP(D47,'Tournament Details'!$C:$G,5,FALSE)="",D47,VLOOKUP(D47,'Tournament Details'!$C:$G,5,FALSE)))</f>
        <v/>
      </c>
      <c r="I47" s="7" t="str">
        <f>IF(D47=0,"",IF(VLOOKUP(D47,'Tournament Details'!$C:$E,3,FALSE)&gt;0,VLOOKUP(D47,'Tournament Details'!$C:$E,3,FALSE),""))</f>
        <v/>
      </c>
      <c r="J47" s="127"/>
      <c r="K47" s="127"/>
      <c r="L47" s="23"/>
      <c r="M47" s="23"/>
      <c r="N47" s="23"/>
      <c r="O47" s="23"/>
      <c r="P47" s="190">
        <v>0</v>
      </c>
      <c r="Q47" s="183">
        <f t="shared" si="7"/>
        <v>0</v>
      </c>
      <c r="R47" s="135" t="str">
        <f t="shared" si="8"/>
        <v/>
      </c>
      <c r="S47" s="135" t="str">
        <f>IF(Q47="","",IF(Q47+Q48&lt;&gt;20,IF(Q47+Q48&lt;&gt;0,"!",""),""))</f>
        <v/>
      </c>
      <c r="T47" s="21" t="str">
        <f t="shared" si="9"/>
        <v/>
      </c>
      <c r="U47" s="132">
        <f>IF(D47="",0,VLOOKUP(D47,'Tournament Details'!$C:$X,22,FALSE))</f>
        <v>0</v>
      </c>
      <c r="V47" s="132">
        <f>IF(D47="",0,VLOOKUP(D47,'Tournament Details'!$C:$Y,23,FALSE))</f>
        <v>0</v>
      </c>
      <c r="W47" s="132">
        <f>IF(D47="",0,VLOOKUP(D47,'Tournament Details'!$C:$Z,24,FALSE))</f>
        <v>0</v>
      </c>
      <c r="X47" s="132">
        <f>IF(D47="",0,VLOOKUP(D47,'Tournament Details'!$C:$AA,25,FALSE))</f>
        <v>0</v>
      </c>
      <c r="Y47" s="40" t="str">
        <f>IF(D47="","",IF(COUNTIF(D:D,D47)&gt;1,"DUPLICATE PLAYER",IF(D48="","NO OPPONENT",IF(D48=U47,"REPEAT MATCHUP",IF(D48=V47,"REPEAT MATCHUP",IF(D48=W47,"REPEAT MATCHUP",IF(H47=H48,"SAME TEAM","")))))))</f>
        <v/>
      </c>
      <c r="Z47" s="40"/>
      <c r="AA47" t="str">
        <f>IF(Y47="NO OPPONENT","",IF(Y47&lt;&gt;"",CONCATENATE("Previous Matchup Player #: ",VLOOKUP(D47,'Tournament Details'!$C:$X,22,FALSE)," - ",VLOOKUP(D47,'Tournament Details'!$C:$Y,23,FALSE)," - ",VLOOKUP(D47,'Tournament Details'!$C:$Z,24,FALSE)),""))</f>
        <v/>
      </c>
    </row>
    <row r="48" spans="1:27" ht="15" customHeight="1" thickBot="1" x14ac:dyDescent="0.35">
      <c r="A48" s="224"/>
      <c r="B48" s="43">
        <f t="shared" si="5"/>
        <v>0</v>
      </c>
      <c r="C48" s="44" t="str">
        <f t="shared" si="6"/>
        <v/>
      </c>
      <c r="D48" s="74" t="str">
        <f>IF('Tournament Details'!A1&gt;=1,IF('Tournament Details'!C52&lt;=LARGE('Round 3'!$C:$C,1),VLOOKUP(SMALL('Round 3'!$C:$C,46),'Round 3'!$C:$D,2,FALSE),""),"")</f>
        <v/>
      </c>
      <c r="E48" s="44" t="str">
        <f>IF(D48="","",B48+VLOOKUP(D48,'Round 3'!$D:$E,2,FALSE))</f>
        <v/>
      </c>
      <c r="F48" s="44" t="str">
        <f>IF(D48="","",(LARGE('Tournament Details'!$C:$C,1)+1-D48)+E48)</f>
        <v/>
      </c>
      <c r="G48" s="24" t="str">
        <f>D47</f>
        <v/>
      </c>
      <c r="H48" s="26" t="str">
        <f>IF(D48="","",IF(VLOOKUP(D48,'Tournament Details'!$C:$G,5,FALSE)="",D48,VLOOKUP(D48,'Tournament Details'!$C:$G,5,FALSE)))</f>
        <v/>
      </c>
      <c r="I48" s="12" t="str">
        <f>IF(D48=0,"",IF(VLOOKUP(D48,'Tournament Details'!$C:$E,3,FALSE)&gt;0,VLOOKUP(D48,'Tournament Details'!$C:$E,3,FALSE),""))</f>
        <v/>
      </c>
      <c r="J48" s="128"/>
      <c r="K48" s="128"/>
      <c r="L48" s="23"/>
      <c r="M48" s="24"/>
      <c r="N48" s="24"/>
      <c r="O48" s="24"/>
      <c r="P48" s="191">
        <v>0</v>
      </c>
      <c r="Q48" s="183">
        <f t="shared" si="7"/>
        <v>0</v>
      </c>
      <c r="R48" s="135" t="str">
        <f t="shared" si="8"/>
        <v/>
      </c>
      <c r="S48" s="135" t="str">
        <f>IF(Q48="","",IF(Q47+Q48&lt;&gt;20,IF(Q47+Q48&lt;&gt;0,"!",""),""))</f>
        <v/>
      </c>
      <c r="T48" s="21" t="str">
        <f t="shared" si="9"/>
        <v/>
      </c>
      <c r="U48" s="132">
        <f>IF(D48="",0,VLOOKUP(D48,'Tournament Details'!$C:$X,22,FALSE))</f>
        <v>0</v>
      </c>
      <c r="V48" s="132">
        <f>IF(D48="",0,VLOOKUP(D48,'Tournament Details'!$C:$Y,23,FALSE))</f>
        <v>0</v>
      </c>
      <c r="W48" s="132">
        <f>IF(D48="",0,VLOOKUP(D48,'Tournament Details'!$C:$Z,24,FALSE))</f>
        <v>0</v>
      </c>
      <c r="X48" s="132">
        <f>IF(D48="",0,VLOOKUP(D48,'Tournament Details'!$C:$AA,25,FALSE))</f>
        <v>0</v>
      </c>
      <c r="Y48" s="40" t="str">
        <f>IF(D48="","",IF(COUNTIF(D:D,D48)&gt;1,"DUPLICATE PLAYER",IF(D47="","NO OPPONENT",IF(D47=U48,"REPEAT MATCHUP",IF(D47=V48,"REPEAT MATCHUP",IF(D47=W48,"REPEAT MATCHUP",IF(H48=H47,"SAME TEAM","")))))))</f>
        <v/>
      </c>
      <c r="Z48" s="40"/>
      <c r="AA48" t="str">
        <f>IF(Y48="NO OPPONENT","",IF(Y48&lt;&gt;"",CONCATENATE("Previous Matchup Player #: ",VLOOKUP(D48,'Tournament Details'!$C:$X,22,FALSE)," - ",VLOOKUP(D48,'Tournament Details'!$C:$Y,23,FALSE)," - ",VLOOKUP(D48,'Tournament Details'!$C:$Z,24,FALSE)),""))</f>
        <v/>
      </c>
    </row>
    <row r="49" spans="1:27" ht="15" customHeight="1" thickBot="1" x14ac:dyDescent="0.35">
      <c r="A49" s="224" t="str">
        <f>IF('Tournament Details'!A1&gt;=1,IF(LARGE('Tournament Details'!C7:C86,1)&gt;=48,24,""),"")</f>
        <v/>
      </c>
      <c r="B49" s="42">
        <f t="shared" si="5"/>
        <v>0</v>
      </c>
      <c r="C49" s="44" t="str">
        <f t="shared" si="6"/>
        <v/>
      </c>
      <c r="D49" s="66" t="str">
        <f>IF('Tournament Details'!A1&gt;=1,IF('Tournament Details'!C53&lt;=LARGE('Round 3'!$C:$C,1),VLOOKUP(SMALL('Round 3'!$C:$C,47),'Round 3'!$C:$D,2,FALSE),""),"")</f>
        <v/>
      </c>
      <c r="E49" s="44" t="str">
        <f>IF(D49="","",B49+VLOOKUP(D49,'Round 3'!$D:$E,2,FALSE))</f>
        <v/>
      </c>
      <c r="F49" s="44" t="str">
        <f>IF(D49="","",(LARGE('Tournament Details'!$C:$C,1)+1-D49)+E49)</f>
        <v/>
      </c>
      <c r="G49" s="23" t="str">
        <f>D50</f>
        <v/>
      </c>
      <c r="H49" s="25" t="str">
        <f>IF(D49="","",IF(VLOOKUP(D49,'Tournament Details'!$C:$G,5,FALSE)="",D49,VLOOKUP(D49,'Tournament Details'!$C:$G,5,FALSE)))</f>
        <v/>
      </c>
      <c r="I49" s="7" t="str">
        <f>IF(D49=0,"",IF(VLOOKUP(D49,'Tournament Details'!$C:$E,3,FALSE)&gt;0,VLOOKUP(D49,'Tournament Details'!$C:$E,3,FALSE),""))</f>
        <v/>
      </c>
      <c r="J49" s="127"/>
      <c r="K49" s="127"/>
      <c r="L49" s="23"/>
      <c r="M49" s="23"/>
      <c r="N49" s="23"/>
      <c r="O49" s="23"/>
      <c r="P49" s="190">
        <v>0</v>
      </c>
      <c r="Q49" s="183">
        <f t="shared" si="7"/>
        <v>0</v>
      </c>
      <c r="R49" s="135" t="str">
        <f t="shared" si="8"/>
        <v/>
      </c>
      <c r="S49" s="135" t="str">
        <f>IF(Q49="","",IF(Q49+Q50&lt;&gt;20,IF(Q49+Q50&lt;&gt;0,"!",""),""))</f>
        <v/>
      </c>
      <c r="T49" s="21" t="str">
        <f t="shared" si="9"/>
        <v/>
      </c>
      <c r="U49" s="132">
        <f>IF(D49="",0,VLOOKUP(D49,'Tournament Details'!$C:$X,22,FALSE))</f>
        <v>0</v>
      </c>
      <c r="V49" s="132">
        <f>IF(D49="",0,VLOOKUP(D49,'Tournament Details'!$C:$Y,23,FALSE))</f>
        <v>0</v>
      </c>
      <c r="W49" s="132">
        <f>IF(D49="",0,VLOOKUP(D49,'Tournament Details'!$C:$Z,24,FALSE))</f>
        <v>0</v>
      </c>
      <c r="X49" s="132">
        <f>IF(D49="",0,VLOOKUP(D49,'Tournament Details'!$C:$AA,25,FALSE))</f>
        <v>0</v>
      </c>
      <c r="Y49" s="40" t="str">
        <f>IF(D49="","",IF(COUNTIF(D:D,D49)&gt;1,"DUPLICATE PLAYER",IF(D50="","NO OPPONENT",IF(D50=U49,"REPEAT MATCHUP",IF(D50=V49,"REPEAT MATCHUP",IF(D50=W49,"REPEAT MATCHUP",IF(H49=H50,"SAME TEAM","")))))))</f>
        <v/>
      </c>
      <c r="Z49" s="40"/>
      <c r="AA49" t="str">
        <f>IF(Y49="NO OPPONENT","",IF(Y49&lt;&gt;"",CONCATENATE("Previous Matchup Player #: ",VLOOKUP(D49,'Tournament Details'!$C:$X,22,FALSE)," - ",VLOOKUP(D49,'Tournament Details'!$C:$Y,23,FALSE)," - ",VLOOKUP(D49,'Tournament Details'!$C:$Z,24,FALSE)),""))</f>
        <v/>
      </c>
    </row>
    <row r="50" spans="1:27" ht="15" customHeight="1" thickBot="1" x14ac:dyDescent="0.35">
      <c r="A50" s="224"/>
      <c r="B50" s="43">
        <f t="shared" si="5"/>
        <v>0</v>
      </c>
      <c r="C50" s="44" t="str">
        <f t="shared" si="6"/>
        <v/>
      </c>
      <c r="D50" s="74" t="str">
        <f>IF('Tournament Details'!A1&gt;=1,IF('Tournament Details'!C54&lt;=LARGE('Round 3'!$C:$C,1),VLOOKUP(SMALL('Round 3'!$C:$C,48),'Round 3'!$C:$D,2,FALSE),""),"")</f>
        <v/>
      </c>
      <c r="E50" s="44" t="str">
        <f>IF(D50="","",B50+VLOOKUP(D50,'Round 3'!$D:$E,2,FALSE))</f>
        <v/>
      </c>
      <c r="F50" s="44" t="str">
        <f>IF(D50="","",(LARGE('Tournament Details'!$C:$C,1)+1-D50)+E50)</f>
        <v/>
      </c>
      <c r="G50" s="24" t="str">
        <f>D49</f>
        <v/>
      </c>
      <c r="H50" s="26" t="str">
        <f>IF(D50="","",IF(VLOOKUP(D50,'Tournament Details'!$C:$G,5,FALSE)="",D50,VLOOKUP(D50,'Tournament Details'!$C:$G,5,FALSE)))</f>
        <v/>
      </c>
      <c r="I50" s="12" t="str">
        <f>IF(D50=0,"",IF(VLOOKUP(D50,'Tournament Details'!$C:$E,3,FALSE)&gt;0,VLOOKUP(D50,'Tournament Details'!$C:$E,3,FALSE),""))</f>
        <v/>
      </c>
      <c r="J50" s="128"/>
      <c r="K50" s="128"/>
      <c r="L50" s="23"/>
      <c r="M50" s="24"/>
      <c r="N50" s="24"/>
      <c r="O50" s="24"/>
      <c r="P50" s="191">
        <v>0</v>
      </c>
      <c r="Q50" s="183">
        <f t="shared" si="7"/>
        <v>0</v>
      </c>
      <c r="R50" s="135" t="str">
        <f t="shared" si="8"/>
        <v/>
      </c>
      <c r="S50" s="135" t="str">
        <f>IF(Q50="","",IF(Q49+Q50&lt;&gt;20,IF(Q49+Q50&lt;&gt;0,"!",""),""))</f>
        <v/>
      </c>
      <c r="T50" s="21" t="str">
        <f t="shared" si="9"/>
        <v/>
      </c>
      <c r="U50" s="132">
        <f>IF(D50="",0,VLOOKUP(D50,'Tournament Details'!$C:$X,22,FALSE))</f>
        <v>0</v>
      </c>
      <c r="V50" s="132">
        <f>IF(D50="",0,VLOOKUP(D50,'Tournament Details'!$C:$Y,23,FALSE))</f>
        <v>0</v>
      </c>
      <c r="W50" s="132">
        <f>IF(D50="",0,VLOOKUP(D50,'Tournament Details'!$C:$Z,24,FALSE))</f>
        <v>0</v>
      </c>
      <c r="X50" s="132">
        <f>IF(D50="",0,VLOOKUP(D50,'Tournament Details'!$C:$AA,25,FALSE))</f>
        <v>0</v>
      </c>
      <c r="Y50" s="40" t="str">
        <f>IF(D50="","",IF(COUNTIF(D:D,D50)&gt;1,"DUPLICATE PLAYER",IF(D49="","NO OPPONENT",IF(D49=U50,"REPEAT MATCHUP",IF(D49=V50,"REPEAT MATCHUP",IF(D49=W50,"REPEAT MATCHUP",IF(H50=H49,"SAME TEAM","")))))))</f>
        <v/>
      </c>
      <c r="Z50" s="40"/>
      <c r="AA50" t="str">
        <f>IF(Y50="NO OPPONENT","",IF(Y50&lt;&gt;"",CONCATENATE("Previous Matchup Player #: ",VLOOKUP(D50,'Tournament Details'!$C:$X,22,FALSE)," - ",VLOOKUP(D50,'Tournament Details'!$C:$Y,23,FALSE)," - ",VLOOKUP(D50,'Tournament Details'!$C:$Z,24,FALSE)),""))</f>
        <v/>
      </c>
    </row>
    <row r="51" spans="1:27" ht="15" customHeight="1" thickBot="1" x14ac:dyDescent="0.35">
      <c r="A51" s="224" t="str">
        <f>IF('Tournament Details'!A1&gt;=1,IF(LARGE('Tournament Details'!C7:C86,1)&gt;=50,25,""),"")</f>
        <v/>
      </c>
      <c r="B51" s="42">
        <f t="shared" si="5"/>
        <v>0</v>
      </c>
      <c r="C51" s="44" t="str">
        <f t="shared" si="6"/>
        <v/>
      </c>
      <c r="D51" s="66" t="str">
        <f>IF('Tournament Details'!A1&gt;=1,IF('Tournament Details'!C55&lt;=LARGE('Round 3'!$C:$C,1),VLOOKUP(SMALL('Round 3'!$C:$C,49),'Round 3'!$C:$D,2,FALSE),""),"")</f>
        <v/>
      </c>
      <c r="E51" s="44" t="str">
        <f>IF(D51="","",B51+VLOOKUP(D51,'Round 3'!$D:$E,2,FALSE))</f>
        <v/>
      </c>
      <c r="F51" s="44" t="str">
        <f>IF(D51="","",(LARGE('Tournament Details'!$C:$C,1)+1-D51)+E51)</f>
        <v/>
      </c>
      <c r="G51" s="23" t="str">
        <f>D52</f>
        <v/>
      </c>
      <c r="H51" s="25" t="str">
        <f>IF(D51="","",IF(VLOOKUP(D51,'Tournament Details'!$C:$G,5,FALSE)="",D51,VLOOKUP(D51,'Tournament Details'!$C:$G,5,FALSE)))</f>
        <v/>
      </c>
      <c r="I51" s="7" t="str">
        <f>IF(D51=0,"",IF(VLOOKUP(D51,'Tournament Details'!$C:$E,3,FALSE)&gt;0,VLOOKUP(D51,'Tournament Details'!$C:$E,3,FALSE),""))</f>
        <v/>
      </c>
      <c r="J51" s="127"/>
      <c r="K51" s="127"/>
      <c r="L51" s="23"/>
      <c r="M51" s="23"/>
      <c r="N51" s="23"/>
      <c r="O51" s="23"/>
      <c r="P51" s="190">
        <v>0</v>
      </c>
      <c r="Q51" s="183">
        <f t="shared" si="7"/>
        <v>0</v>
      </c>
      <c r="R51" s="135" t="str">
        <f t="shared" si="8"/>
        <v/>
      </c>
      <c r="S51" s="135" t="str">
        <f>IF(Q51="","",IF(Q51+Q52&lt;&gt;20,IF(Q51+Q52&lt;&gt;0,"!",""),""))</f>
        <v/>
      </c>
      <c r="T51" s="21" t="str">
        <f t="shared" si="9"/>
        <v/>
      </c>
      <c r="U51" s="132">
        <f>IF(D51="",0,VLOOKUP(D51,'Tournament Details'!$C:$X,22,FALSE))</f>
        <v>0</v>
      </c>
      <c r="V51" s="132">
        <f>IF(D51="",0,VLOOKUP(D51,'Tournament Details'!$C:$Y,23,FALSE))</f>
        <v>0</v>
      </c>
      <c r="W51" s="132">
        <f>IF(D51="",0,VLOOKUP(D51,'Tournament Details'!$C:$Z,24,FALSE))</f>
        <v>0</v>
      </c>
      <c r="X51" s="132">
        <f>IF(D51="",0,VLOOKUP(D51,'Tournament Details'!$C:$AA,25,FALSE))</f>
        <v>0</v>
      </c>
      <c r="Y51" s="40" t="str">
        <f>IF(D51="","",IF(COUNTIF(D:D,D51)&gt;1,"DUPLICATE PLAYER",IF(D52="","NO OPPONENT",IF(D52=U51,"REPEAT MATCHUP",IF(D52=V51,"REPEAT MATCHUP",IF(D52=W51,"REPEAT MATCHUP",IF(H51=H52,"SAME TEAM","")))))))</f>
        <v/>
      </c>
      <c r="Z51" s="40"/>
      <c r="AA51" t="str">
        <f>IF(Y51="NO OPPONENT","",IF(Y51&lt;&gt;"",CONCATENATE("Previous Matchup Player #: ",VLOOKUP(D51,'Tournament Details'!$C:$X,22,FALSE)," - ",VLOOKUP(D51,'Tournament Details'!$C:$Y,23,FALSE)," - ",VLOOKUP(D51,'Tournament Details'!$C:$Z,24,FALSE)),""))</f>
        <v/>
      </c>
    </row>
    <row r="52" spans="1:27" ht="15" customHeight="1" thickBot="1" x14ac:dyDescent="0.35">
      <c r="A52" s="224"/>
      <c r="B52" s="43">
        <f t="shared" si="5"/>
        <v>0</v>
      </c>
      <c r="C52" s="44" t="str">
        <f t="shared" si="6"/>
        <v/>
      </c>
      <c r="D52" s="74" t="str">
        <f>IF('Tournament Details'!A1&gt;=1,IF('Tournament Details'!C56&lt;=LARGE('Round 3'!$C:$C,1),VLOOKUP(SMALL('Round 3'!$C:$C,50),'Round 3'!$C:$D,2,FALSE),""),"")</f>
        <v/>
      </c>
      <c r="E52" s="44" t="str">
        <f>IF(D52="","",B52+VLOOKUP(D52,'Round 3'!$D:$E,2,FALSE))</f>
        <v/>
      </c>
      <c r="F52" s="44" t="str">
        <f>IF(D52="","",(LARGE('Tournament Details'!$C:$C,1)+1-D52)+E52)</f>
        <v/>
      </c>
      <c r="G52" s="24" t="str">
        <f>D51</f>
        <v/>
      </c>
      <c r="H52" s="26" t="str">
        <f>IF(D52="","",IF(VLOOKUP(D52,'Tournament Details'!$C:$G,5,FALSE)="",D52,VLOOKUP(D52,'Tournament Details'!$C:$G,5,FALSE)))</f>
        <v/>
      </c>
      <c r="I52" s="12" t="str">
        <f>IF(D52=0,"",IF(VLOOKUP(D52,'Tournament Details'!$C:$E,3,FALSE)&gt;0,VLOOKUP(D52,'Tournament Details'!$C:$E,3,FALSE),""))</f>
        <v/>
      </c>
      <c r="J52" s="128"/>
      <c r="K52" s="128"/>
      <c r="L52" s="23"/>
      <c r="M52" s="24"/>
      <c r="N52" s="24"/>
      <c r="O52" s="24"/>
      <c r="P52" s="191">
        <v>0</v>
      </c>
      <c r="Q52" s="183">
        <f t="shared" si="7"/>
        <v>0</v>
      </c>
      <c r="R52" s="135" t="str">
        <f t="shared" si="8"/>
        <v/>
      </c>
      <c r="S52" s="135" t="str">
        <f>IF(Q52="","",IF(Q51+Q52&lt;&gt;20,IF(Q51+Q52&lt;&gt;0,"!",""),""))</f>
        <v/>
      </c>
      <c r="T52" s="21" t="str">
        <f t="shared" si="9"/>
        <v/>
      </c>
      <c r="U52" s="132">
        <f>IF(D52="",0,VLOOKUP(D52,'Tournament Details'!$C:$X,22,FALSE))</f>
        <v>0</v>
      </c>
      <c r="V52" s="132">
        <f>IF(D52="",0,VLOOKUP(D52,'Tournament Details'!$C:$Y,23,FALSE))</f>
        <v>0</v>
      </c>
      <c r="W52" s="132">
        <f>IF(D52="",0,VLOOKUP(D52,'Tournament Details'!$C:$Z,24,FALSE))</f>
        <v>0</v>
      </c>
      <c r="X52" s="132">
        <f>IF(D52="",0,VLOOKUP(D52,'Tournament Details'!$C:$AA,25,FALSE))</f>
        <v>0</v>
      </c>
      <c r="Y52" s="40" t="str">
        <f>IF(D52="","",IF(COUNTIF(D:D,D52)&gt;1,"DUPLICATE PLAYER",IF(D51="","NO OPPONENT",IF(D51=U52,"REPEAT MATCHUP",IF(D51=V52,"REPEAT MATCHUP",IF(D51=W52,"REPEAT MATCHUP",IF(H52=H51,"SAME TEAM","")))))))</f>
        <v/>
      </c>
      <c r="Z52" s="40"/>
      <c r="AA52" t="str">
        <f>IF(Y52="NO OPPONENT","",IF(Y52&lt;&gt;"",CONCATENATE("Previous Matchup Player #: ",VLOOKUP(D52,'Tournament Details'!$C:$X,22,FALSE)," - ",VLOOKUP(D52,'Tournament Details'!$C:$Y,23,FALSE)," - ",VLOOKUP(D52,'Tournament Details'!$C:$Z,24,FALSE)),""))</f>
        <v/>
      </c>
    </row>
    <row r="53" spans="1:27" ht="15" customHeight="1" thickBot="1" x14ac:dyDescent="0.35">
      <c r="A53" s="224" t="str">
        <f>IF('Tournament Details'!A1&gt;=1,IF(LARGE('Tournament Details'!C7:C86,1)&gt;=52,26,""),"")</f>
        <v/>
      </c>
      <c r="B53" s="42">
        <f t="shared" si="5"/>
        <v>0</v>
      </c>
      <c r="C53" s="44" t="str">
        <f t="shared" si="6"/>
        <v/>
      </c>
      <c r="D53" s="66" t="str">
        <f>IF('Tournament Details'!A1&gt;=1,IF('Tournament Details'!C57&lt;=LARGE('Round 3'!$C:$C,1),VLOOKUP(SMALL('Round 3'!$C:$C,51),'Round 3'!$C:$D,2,FALSE),""),"")</f>
        <v/>
      </c>
      <c r="E53" s="44" t="str">
        <f>IF(D53="","",B53+VLOOKUP(D53,'Round 3'!$D:$E,2,FALSE))</f>
        <v/>
      </c>
      <c r="F53" s="44" t="str">
        <f>IF(D53="","",(LARGE('Tournament Details'!$C:$C,1)+1-D53)+E53)</f>
        <v/>
      </c>
      <c r="G53" s="23" t="str">
        <f>D54</f>
        <v/>
      </c>
      <c r="H53" s="25" t="str">
        <f>IF(D53="","",IF(VLOOKUP(D53,'Tournament Details'!$C:$G,5,FALSE)="",D53,VLOOKUP(D53,'Tournament Details'!$C:$G,5,FALSE)))</f>
        <v/>
      </c>
      <c r="I53" s="7" t="str">
        <f>IF(D53=0,"",IF(VLOOKUP(D53,'Tournament Details'!$C:$E,3,FALSE)&gt;0,VLOOKUP(D53,'Tournament Details'!$C:$E,3,FALSE),""))</f>
        <v/>
      </c>
      <c r="J53" s="127"/>
      <c r="K53" s="127"/>
      <c r="L53" s="23"/>
      <c r="M53" s="23"/>
      <c r="N53" s="23"/>
      <c r="O53" s="23"/>
      <c r="P53" s="190">
        <v>0</v>
      </c>
      <c r="Q53" s="183">
        <f t="shared" si="7"/>
        <v>0</v>
      </c>
      <c r="R53" s="135" t="str">
        <f t="shared" si="8"/>
        <v/>
      </c>
      <c r="S53" s="135" t="str">
        <f>IF(Q53="","",IF(Q53+Q54&lt;&gt;20,IF(Q53+Q54&lt;&gt;0,"!",""),""))</f>
        <v/>
      </c>
      <c r="T53" s="21" t="str">
        <f t="shared" si="9"/>
        <v/>
      </c>
      <c r="U53" s="132">
        <f>IF(D53="",0,VLOOKUP(D53,'Tournament Details'!$C:$X,22,FALSE))</f>
        <v>0</v>
      </c>
      <c r="V53" s="132">
        <f>IF(D53="",0,VLOOKUP(D53,'Tournament Details'!$C:$Y,23,FALSE))</f>
        <v>0</v>
      </c>
      <c r="W53" s="132">
        <f>IF(D53="",0,VLOOKUP(D53,'Tournament Details'!$C:$Z,24,FALSE))</f>
        <v>0</v>
      </c>
      <c r="X53" s="132">
        <f>IF(D53="",0,VLOOKUP(D53,'Tournament Details'!$C:$AA,25,FALSE))</f>
        <v>0</v>
      </c>
      <c r="Y53" s="40" t="str">
        <f>IF(D53="","",IF(COUNTIF(D:D,D53)&gt;1,"DUPLICATE PLAYER",IF(D54="","NO OPPONENT",IF(D54=U53,"REPEAT MATCHUP",IF(D54=V53,"REPEAT MATCHUP",IF(D54=W53,"REPEAT MATCHUP",IF(H53=H54,"SAME TEAM","")))))))</f>
        <v/>
      </c>
      <c r="Z53" s="40"/>
      <c r="AA53" t="str">
        <f>IF(Y53="NO OPPONENT","",IF(Y53&lt;&gt;"",CONCATENATE("Previous Matchup Player #: ",VLOOKUP(D53,'Tournament Details'!$C:$X,22,FALSE)," - ",VLOOKUP(D53,'Tournament Details'!$C:$Y,23,FALSE)," - ",VLOOKUP(D53,'Tournament Details'!$C:$Z,24,FALSE)),""))</f>
        <v/>
      </c>
    </row>
    <row r="54" spans="1:27" ht="15" customHeight="1" thickBot="1" x14ac:dyDescent="0.35">
      <c r="A54" s="224"/>
      <c r="B54" s="43">
        <f t="shared" si="5"/>
        <v>0</v>
      </c>
      <c r="C54" s="44" t="str">
        <f t="shared" si="6"/>
        <v/>
      </c>
      <c r="D54" s="74" t="str">
        <f>IF('Tournament Details'!A1&gt;=1,IF('Tournament Details'!C58&lt;=LARGE('Round 3'!$C:$C,1),VLOOKUP(SMALL('Round 3'!$C:$C,52),'Round 3'!$C:$D,2,FALSE),""),"")</f>
        <v/>
      </c>
      <c r="E54" s="44" t="str">
        <f>IF(D54="","",B54+VLOOKUP(D54,'Round 3'!$D:$E,2,FALSE))</f>
        <v/>
      </c>
      <c r="F54" s="44" t="str">
        <f>IF(D54="","",(LARGE('Tournament Details'!$C:$C,1)+1-D54)+E54)</f>
        <v/>
      </c>
      <c r="G54" s="24" t="str">
        <f>D53</f>
        <v/>
      </c>
      <c r="H54" s="26" t="str">
        <f>IF(D54="","",IF(VLOOKUP(D54,'Tournament Details'!$C:$G,5,FALSE)="",D54,VLOOKUP(D54,'Tournament Details'!$C:$G,5,FALSE)))</f>
        <v/>
      </c>
      <c r="I54" s="12" t="str">
        <f>IF(D54=0,"",IF(VLOOKUP(D54,'Tournament Details'!$C:$E,3,FALSE)&gt;0,VLOOKUP(D54,'Tournament Details'!$C:$E,3,FALSE),""))</f>
        <v/>
      </c>
      <c r="J54" s="128"/>
      <c r="K54" s="128"/>
      <c r="L54" s="23"/>
      <c r="M54" s="24"/>
      <c r="N54" s="24"/>
      <c r="O54" s="24"/>
      <c r="P54" s="191">
        <v>0</v>
      </c>
      <c r="Q54" s="183">
        <f t="shared" si="7"/>
        <v>0</v>
      </c>
      <c r="R54" s="135" t="str">
        <f t="shared" si="8"/>
        <v/>
      </c>
      <c r="S54" s="135" t="str">
        <f>IF(Q54="","",IF(Q53+Q54&lt;&gt;20,IF(Q53+Q54&lt;&gt;0,"!",""),""))</f>
        <v/>
      </c>
      <c r="T54" s="21" t="str">
        <f t="shared" si="9"/>
        <v/>
      </c>
      <c r="U54" s="132">
        <f>IF(D54="",0,VLOOKUP(D54,'Tournament Details'!$C:$X,22,FALSE))</f>
        <v>0</v>
      </c>
      <c r="V54" s="132">
        <f>IF(D54="",0,VLOOKUP(D54,'Tournament Details'!$C:$Y,23,FALSE))</f>
        <v>0</v>
      </c>
      <c r="W54" s="132">
        <f>IF(D54="",0,VLOOKUP(D54,'Tournament Details'!$C:$Z,24,FALSE))</f>
        <v>0</v>
      </c>
      <c r="X54" s="132">
        <f>IF(D54="",0,VLOOKUP(D54,'Tournament Details'!$C:$AA,25,FALSE))</f>
        <v>0</v>
      </c>
      <c r="Y54" s="40" t="str">
        <f>IF(D54="","",IF(COUNTIF(D:D,D54)&gt;1,"DUPLICATE PLAYER",IF(D53="","NO OPPONENT",IF(D53=U54,"REPEAT MATCHUP",IF(D53=V54,"REPEAT MATCHUP",IF(D53=W54,"REPEAT MATCHUP",IF(H54=H53,"SAME TEAM","")))))))</f>
        <v/>
      </c>
      <c r="Z54" s="40"/>
      <c r="AA54" t="str">
        <f>IF(Y54="NO OPPONENT","",IF(Y54&lt;&gt;"",CONCATENATE("Previous Matchup Player #: ",VLOOKUP(D54,'Tournament Details'!$C:$X,22,FALSE)," - ",VLOOKUP(D54,'Tournament Details'!$C:$Y,23,FALSE)," - ",VLOOKUP(D54,'Tournament Details'!$C:$Z,24,FALSE)),""))</f>
        <v/>
      </c>
    </row>
    <row r="55" spans="1:27" ht="15" customHeight="1" thickBot="1" x14ac:dyDescent="0.35">
      <c r="A55" s="224" t="str">
        <f>IF('Tournament Details'!A1&gt;=1,IF(LARGE('Tournament Details'!C7:C86,1)&gt;=54,27,""),"")</f>
        <v/>
      </c>
      <c r="B55" s="42">
        <f t="shared" si="5"/>
        <v>0</v>
      </c>
      <c r="C55" s="44" t="str">
        <f t="shared" si="6"/>
        <v/>
      </c>
      <c r="D55" s="66" t="str">
        <f>IF('Tournament Details'!A1&gt;=1,IF('Tournament Details'!C59&lt;=LARGE('Round 3'!$C:$C,1),VLOOKUP(SMALL('Round 3'!$C:$C,53),'Round 3'!$C:$D,2,FALSE),""),"")</f>
        <v/>
      </c>
      <c r="E55" s="44" t="str">
        <f>IF(D55="","",B55+VLOOKUP(D55,'Round 3'!$D:$E,2,FALSE))</f>
        <v/>
      </c>
      <c r="F55" s="44" t="str">
        <f>IF(D55="","",(LARGE('Tournament Details'!$C:$C,1)+1-D55)+E55)</f>
        <v/>
      </c>
      <c r="G55" s="23" t="str">
        <f>D56</f>
        <v/>
      </c>
      <c r="H55" s="25" t="str">
        <f>IF(D55="","",IF(VLOOKUP(D55,'Tournament Details'!$C:$G,5,FALSE)="",D55,VLOOKUP(D55,'Tournament Details'!$C:$G,5,FALSE)))</f>
        <v/>
      </c>
      <c r="I55" s="7" t="str">
        <f>IF(D55=0,"",IF(VLOOKUP(D55,'Tournament Details'!$C:$E,3,FALSE)&gt;0,VLOOKUP(D55,'Tournament Details'!$C:$E,3,FALSE),""))</f>
        <v/>
      </c>
      <c r="J55" s="127"/>
      <c r="K55" s="127"/>
      <c r="L55" s="23"/>
      <c r="M55" s="23"/>
      <c r="N55" s="23"/>
      <c r="O55" s="23"/>
      <c r="P55" s="190">
        <v>0</v>
      </c>
      <c r="Q55" s="183">
        <f t="shared" si="7"/>
        <v>0</v>
      </c>
      <c r="R55" s="135" t="str">
        <f t="shared" si="8"/>
        <v/>
      </c>
      <c r="S55" s="135" t="str">
        <f>IF(Q55="","",IF(Q55+Q56&lt;&gt;20,IF(Q55+Q56&lt;&gt;0,"!",""),""))</f>
        <v/>
      </c>
      <c r="T55" s="21" t="str">
        <f t="shared" si="9"/>
        <v/>
      </c>
      <c r="U55" s="132">
        <f>IF(D55="",0,VLOOKUP(D55,'Tournament Details'!$C:$X,22,FALSE))</f>
        <v>0</v>
      </c>
      <c r="V55" s="132">
        <f>IF(D55="",0,VLOOKUP(D55,'Tournament Details'!$C:$Y,23,FALSE))</f>
        <v>0</v>
      </c>
      <c r="W55" s="132">
        <f>IF(D55="",0,VLOOKUP(D55,'Tournament Details'!$C:$Z,24,FALSE))</f>
        <v>0</v>
      </c>
      <c r="X55" s="132">
        <f>IF(D55="",0,VLOOKUP(D55,'Tournament Details'!$C:$AA,25,FALSE))</f>
        <v>0</v>
      </c>
      <c r="Y55" s="40" t="str">
        <f>IF(D55="","",IF(COUNTIF(D:D,D55)&gt;1,"DUPLICATE PLAYER",IF(D56="","NO OPPONENT",IF(D56=U55,"REPEAT MATCHUP",IF(D56=V55,"REPEAT MATCHUP",IF(D56=W55,"REPEAT MATCHUP",IF(H55=H56,"SAME TEAM","")))))))</f>
        <v/>
      </c>
      <c r="Z55" s="40"/>
      <c r="AA55" t="str">
        <f>IF(Y55="NO OPPONENT","",IF(Y55&lt;&gt;"",CONCATENATE("Previous Matchup Player #: ",VLOOKUP(D55,'Tournament Details'!$C:$X,22,FALSE)," - ",VLOOKUP(D55,'Tournament Details'!$C:$Y,23,FALSE)," - ",VLOOKUP(D55,'Tournament Details'!$C:$Z,24,FALSE)),""))</f>
        <v/>
      </c>
    </row>
    <row r="56" spans="1:27" ht="15" customHeight="1" thickBot="1" x14ac:dyDescent="0.35">
      <c r="A56" s="224"/>
      <c r="B56" s="43">
        <f t="shared" si="5"/>
        <v>0</v>
      </c>
      <c r="C56" s="44" t="str">
        <f t="shared" si="6"/>
        <v/>
      </c>
      <c r="D56" s="74" t="str">
        <f>IF('Tournament Details'!A1&gt;=1,IF('Tournament Details'!C60&lt;=LARGE('Round 3'!$C:$C,1),VLOOKUP(SMALL('Round 3'!$C:$C,54),'Round 3'!$C:$D,2,FALSE),""),"")</f>
        <v/>
      </c>
      <c r="E56" s="44" t="str">
        <f>IF(D56="","",B56+VLOOKUP(D56,'Round 3'!$D:$E,2,FALSE))</f>
        <v/>
      </c>
      <c r="F56" s="44" t="str">
        <f>IF(D56="","",(LARGE('Tournament Details'!$C:$C,1)+1-D56)+E56)</f>
        <v/>
      </c>
      <c r="G56" s="24" t="str">
        <f>D55</f>
        <v/>
      </c>
      <c r="H56" s="26" t="str">
        <f>IF(D56="","",IF(VLOOKUP(D56,'Tournament Details'!$C:$G,5,FALSE)="",D56,VLOOKUP(D56,'Tournament Details'!$C:$G,5,FALSE)))</f>
        <v/>
      </c>
      <c r="I56" s="12" t="str">
        <f>IF(D56=0,"",IF(VLOOKUP(D56,'Tournament Details'!$C:$E,3,FALSE)&gt;0,VLOOKUP(D56,'Tournament Details'!$C:$E,3,FALSE),""))</f>
        <v/>
      </c>
      <c r="J56" s="128"/>
      <c r="K56" s="128"/>
      <c r="L56" s="23"/>
      <c r="M56" s="24"/>
      <c r="N56" s="24"/>
      <c r="O56" s="24"/>
      <c r="P56" s="191">
        <v>0</v>
      </c>
      <c r="Q56" s="183">
        <f t="shared" si="7"/>
        <v>0</v>
      </c>
      <c r="R56" s="135" t="str">
        <f t="shared" si="8"/>
        <v/>
      </c>
      <c r="S56" s="135" t="str">
        <f>IF(Q56="","",IF(Q55+Q56&lt;&gt;20,IF(Q55+Q56&lt;&gt;0,"!",""),""))</f>
        <v/>
      </c>
      <c r="T56" s="21" t="str">
        <f t="shared" si="9"/>
        <v/>
      </c>
      <c r="U56" s="132">
        <f>IF(D56="",0,VLOOKUP(D56,'Tournament Details'!$C:$X,22,FALSE))</f>
        <v>0</v>
      </c>
      <c r="V56" s="132">
        <f>IF(D56="",0,VLOOKUP(D56,'Tournament Details'!$C:$Y,23,FALSE))</f>
        <v>0</v>
      </c>
      <c r="W56" s="132">
        <f>IF(D56="",0,VLOOKUP(D56,'Tournament Details'!$C:$Z,24,FALSE))</f>
        <v>0</v>
      </c>
      <c r="X56" s="132">
        <f>IF(D56="",0,VLOOKUP(D56,'Tournament Details'!$C:$AA,25,FALSE))</f>
        <v>0</v>
      </c>
      <c r="Y56" s="40" t="str">
        <f>IF(D56="","",IF(COUNTIF(D:D,D56)&gt;1,"DUPLICATE PLAYER",IF(D55="","NO OPPONENT",IF(D55=U56,"REPEAT MATCHUP",IF(D55=V56,"REPEAT MATCHUP",IF(D55=W56,"REPEAT MATCHUP",IF(H56=H55,"SAME TEAM","")))))))</f>
        <v/>
      </c>
      <c r="Z56" s="40"/>
      <c r="AA56" t="str">
        <f>IF(Y56="NO OPPONENT","",IF(Y56&lt;&gt;"",CONCATENATE("Previous Matchup Player #: ",VLOOKUP(D56,'Tournament Details'!$C:$X,22,FALSE)," - ",VLOOKUP(D56,'Tournament Details'!$C:$Y,23,FALSE)," - ",VLOOKUP(D56,'Tournament Details'!$C:$Z,24,FALSE)),""))</f>
        <v/>
      </c>
    </row>
    <row r="57" spans="1:27" ht="15" customHeight="1" thickBot="1" x14ac:dyDescent="0.35">
      <c r="A57" s="224" t="str">
        <f>IF('Tournament Details'!A1&gt;=1,IF(LARGE('Tournament Details'!C7:C86,1)&gt;=56,28,""),"")</f>
        <v/>
      </c>
      <c r="B57" s="42">
        <f t="shared" si="5"/>
        <v>0</v>
      </c>
      <c r="C57" s="44" t="str">
        <f t="shared" si="6"/>
        <v/>
      </c>
      <c r="D57" s="66" t="str">
        <f>IF('Tournament Details'!A1&gt;=1,IF('Tournament Details'!C61&lt;=LARGE('Round 3'!$C:$C,1),VLOOKUP(SMALL('Round 3'!$C:$C,55),'Round 3'!$C:$D,2,FALSE),""),"")</f>
        <v/>
      </c>
      <c r="E57" s="44" t="str">
        <f>IF(D57="","",B57+VLOOKUP(D57,'Round 3'!$D:$E,2,FALSE))</f>
        <v/>
      </c>
      <c r="F57" s="44" t="str">
        <f>IF(D57="","",(LARGE('Tournament Details'!$C:$C,1)+1-D57)+E57)</f>
        <v/>
      </c>
      <c r="G57" s="23" t="str">
        <f>D58</f>
        <v/>
      </c>
      <c r="H57" s="25" t="str">
        <f>IF(D57="","",IF(VLOOKUP(D57,'Tournament Details'!$C:$G,5,FALSE)="",D57,VLOOKUP(D57,'Tournament Details'!$C:$G,5,FALSE)))</f>
        <v/>
      </c>
      <c r="I57" s="7" t="str">
        <f>IF(D57=0,"",IF(VLOOKUP(D57,'Tournament Details'!$C:$E,3,FALSE)&gt;0,VLOOKUP(D57,'Tournament Details'!$C:$E,3,FALSE),""))</f>
        <v/>
      </c>
      <c r="J57" s="127"/>
      <c r="K57" s="127"/>
      <c r="L57" s="23"/>
      <c r="M57" s="23"/>
      <c r="N57" s="23"/>
      <c r="O57" s="23"/>
      <c r="P57" s="190">
        <v>0</v>
      </c>
      <c r="Q57" s="183">
        <f t="shared" si="7"/>
        <v>0</v>
      </c>
      <c r="R57" s="135" t="str">
        <f t="shared" si="8"/>
        <v/>
      </c>
      <c r="S57" s="135" t="str">
        <f>IF(Q57="","",IF(Q57+Q58&lt;&gt;20,IF(Q57+Q58&lt;&gt;0,"!",""),""))</f>
        <v/>
      </c>
      <c r="T57" s="21" t="str">
        <f t="shared" si="9"/>
        <v/>
      </c>
      <c r="U57" s="132">
        <f>IF(D57="",0,VLOOKUP(D57,'Tournament Details'!$C:$X,22,FALSE))</f>
        <v>0</v>
      </c>
      <c r="V57" s="132">
        <f>IF(D57="",0,VLOOKUP(D57,'Tournament Details'!$C:$Y,23,FALSE))</f>
        <v>0</v>
      </c>
      <c r="W57" s="132">
        <f>IF(D57="",0,VLOOKUP(D57,'Tournament Details'!$C:$Z,24,FALSE))</f>
        <v>0</v>
      </c>
      <c r="X57" s="132">
        <f>IF(D57="",0,VLOOKUP(D57,'Tournament Details'!$C:$AA,25,FALSE))</f>
        <v>0</v>
      </c>
      <c r="Y57" s="40" t="str">
        <f>IF(D57="","",IF(COUNTIF(D:D,D57)&gt;1,"DUPLICATE PLAYER",IF(D58="","NO OPPONENT",IF(D58=U57,"REPEAT MATCHUP",IF(D58=V57,"REPEAT MATCHUP",IF(D58=W57,"REPEAT MATCHUP",IF(H57=H58,"SAME TEAM","")))))))</f>
        <v/>
      </c>
      <c r="Z57" s="40"/>
      <c r="AA57" t="str">
        <f>IF(Y57="NO OPPONENT","",IF(Y57&lt;&gt;"",CONCATENATE("Previous Matchup Player #: ",VLOOKUP(D57,'Tournament Details'!$C:$X,22,FALSE)," - ",VLOOKUP(D57,'Tournament Details'!$C:$Y,23,FALSE)," - ",VLOOKUP(D57,'Tournament Details'!$C:$Z,24,FALSE)),""))</f>
        <v/>
      </c>
    </row>
    <row r="58" spans="1:27" ht="15" customHeight="1" thickBot="1" x14ac:dyDescent="0.35">
      <c r="A58" s="224"/>
      <c r="B58" s="43">
        <f t="shared" si="5"/>
        <v>0</v>
      </c>
      <c r="C58" s="44" t="str">
        <f t="shared" si="6"/>
        <v/>
      </c>
      <c r="D58" s="74" t="str">
        <f>IF('Tournament Details'!A1&gt;=1,IF('Tournament Details'!C62&lt;=LARGE('Round 3'!$C:$C,1),VLOOKUP(SMALL('Round 3'!$C:$C,56),'Round 3'!$C:$D,2,FALSE),""),"")</f>
        <v/>
      </c>
      <c r="E58" s="44" t="str">
        <f>IF(D58="","",B58+VLOOKUP(D58,'Round 3'!$D:$E,2,FALSE))</f>
        <v/>
      </c>
      <c r="F58" s="44" t="str">
        <f>IF(D58="","",(LARGE('Tournament Details'!$C:$C,1)+1-D58)+E58)</f>
        <v/>
      </c>
      <c r="G58" s="24" t="str">
        <f>D57</f>
        <v/>
      </c>
      <c r="H58" s="26" t="str">
        <f>IF(D58="","",IF(VLOOKUP(D58,'Tournament Details'!$C:$G,5,FALSE)="",D58,VLOOKUP(D58,'Tournament Details'!$C:$G,5,FALSE)))</f>
        <v/>
      </c>
      <c r="I58" s="12" t="str">
        <f>IF(D58=0,"",IF(VLOOKUP(D58,'Tournament Details'!$C:$E,3,FALSE)&gt;0,VLOOKUP(D58,'Tournament Details'!$C:$E,3,FALSE),""))</f>
        <v/>
      </c>
      <c r="J58" s="128"/>
      <c r="K58" s="128"/>
      <c r="L58" s="23"/>
      <c r="M58" s="24"/>
      <c r="N58" s="24"/>
      <c r="O58" s="24"/>
      <c r="P58" s="191">
        <v>0</v>
      </c>
      <c r="Q58" s="183">
        <f t="shared" si="7"/>
        <v>0</v>
      </c>
      <c r="R58" s="135" t="str">
        <f t="shared" si="8"/>
        <v/>
      </c>
      <c r="S58" s="135" t="str">
        <f>IF(Q58="","",IF(Q57+Q58&lt;&gt;20,IF(Q57+Q58&lt;&gt;0,"!",""),""))</f>
        <v/>
      </c>
      <c r="T58" s="21" t="str">
        <f t="shared" si="9"/>
        <v/>
      </c>
      <c r="U58" s="132">
        <f>IF(D58="",0,VLOOKUP(D58,'Tournament Details'!$C:$X,22,FALSE))</f>
        <v>0</v>
      </c>
      <c r="V58" s="132">
        <f>IF(D58="",0,VLOOKUP(D58,'Tournament Details'!$C:$Y,23,FALSE))</f>
        <v>0</v>
      </c>
      <c r="W58" s="132">
        <f>IF(D58="",0,VLOOKUP(D58,'Tournament Details'!$C:$Z,24,FALSE))</f>
        <v>0</v>
      </c>
      <c r="X58" s="132">
        <f>IF(D58="",0,VLOOKUP(D58,'Tournament Details'!$C:$AA,25,FALSE))</f>
        <v>0</v>
      </c>
      <c r="Y58" s="40" t="str">
        <f>IF(D58="","",IF(COUNTIF(D:D,D58)&gt;1,"DUPLICATE PLAYER",IF(D57="","NO OPPONENT",IF(D57=U58,"REPEAT MATCHUP",IF(D57=V58,"REPEAT MATCHUP",IF(D57=W58,"REPEAT MATCHUP",IF(H58=H57,"SAME TEAM","")))))))</f>
        <v/>
      </c>
      <c r="Z58" s="40"/>
      <c r="AA58" t="str">
        <f>IF(Y58="NO OPPONENT","",IF(Y58&lt;&gt;"",CONCATENATE("Previous Matchup Player #: ",VLOOKUP(D58,'Tournament Details'!$C:$X,22,FALSE)," - ",VLOOKUP(D58,'Tournament Details'!$C:$Y,23,FALSE)," - ",VLOOKUP(D58,'Tournament Details'!$C:$Z,24,FALSE)),""))</f>
        <v/>
      </c>
    </row>
    <row r="59" spans="1:27" ht="15" customHeight="1" thickBot="1" x14ac:dyDescent="0.35">
      <c r="A59" s="224" t="str">
        <f>IF('Tournament Details'!A1&gt;=1,IF(LARGE('Tournament Details'!C7:C86,1)&gt;=58,29,""),"")</f>
        <v/>
      </c>
      <c r="B59" s="42">
        <f t="shared" si="5"/>
        <v>0</v>
      </c>
      <c r="C59" s="44" t="str">
        <f t="shared" si="6"/>
        <v/>
      </c>
      <c r="D59" s="66" t="str">
        <f>IF('Tournament Details'!A1&gt;=1,IF('Tournament Details'!C63&lt;=LARGE('Round 3'!$C:$C,1),VLOOKUP(SMALL('Round 3'!$C:$C,57),'Round 3'!$C:$D,2,FALSE),""),"")</f>
        <v/>
      </c>
      <c r="E59" s="44" t="str">
        <f>IF(D59="","",B59+VLOOKUP(D59,'Round 3'!$D:$E,2,FALSE))</f>
        <v/>
      </c>
      <c r="F59" s="44" t="str">
        <f>IF(D59="","",(LARGE('Tournament Details'!$C:$C,1)+1-D59)+E59)</f>
        <v/>
      </c>
      <c r="G59" s="23" t="str">
        <f>D60</f>
        <v/>
      </c>
      <c r="H59" s="25" t="str">
        <f>IF(D59="","",IF(VLOOKUP(D59,'Tournament Details'!$C:$G,5,FALSE)="",D59,VLOOKUP(D59,'Tournament Details'!$C:$G,5,FALSE)))</f>
        <v/>
      </c>
      <c r="I59" s="7" t="str">
        <f>IF(D59=0,"",IF(VLOOKUP(D59,'Tournament Details'!$C:$E,3,FALSE)&gt;0,VLOOKUP(D59,'Tournament Details'!$C:$E,3,FALSE),""))</f>
        <v/>
      </c>
      <c r="J59" s="127"/>
      <c r="K59" s="127"/>
      <c r="L59" s="23"/>
      <c r="M59" s="23"/>
      <c r="N59" s="23"/>
      <c r="O59" s="23"/>
      <c r="P59" s="190">
        <v>0</v>
      </c>
      <c r="Q59" s="183">
        <f t="shared" si="7"/>
        <v>0</v>
      </c>
      <c r="R59" s="135" t="str">
        <f t="shared" si="8"/>
        <v/>
      </c>
      <c r="S59" s="135" t="str">
        <f>IF(Q59="","",IF(Q59+Q60&lt;&gt;20,IF(Q59+Q60&lt;&gt;0,"!",""),""))</f>
        <v/>
      </c>
      <c r="T59" s="21" t="str">
        <f t="shared" si="9"/>
        <v/>
      </c>
      <c r="U59" s="132">
        <f>IF(D59="",0,VLOOKUP(D59,'Tournament Details'!$C:$X,22,FALSE))</f>
        <v>0</v>
      </c>
      <c r="V59" s="132">
        <f>IF(D59="",0,VLOOKUP(D59,'Tournament Details'!$C:$Y,23,FALSE))</f>
        <v>0</v>
      </c>
      <c r="W59" s="132">
        <f>IF(D59="",0,VLOOKUP(D59,'Tournament Details'!$C:$Z,24,FALSE))</f>
        <v>0</v>
      </c>
      <c r="X59" s="132">
        <f>IF(D59="",0,VLOOKUP(D59,'Tournament Details'!$C:$AA,25,FALSE))</f>
        <v>0</v>
      </c>
      <c r="Y59" s="40" t="str">
        <f>IF(D59="","",IF(COUNTIF(D:D,D59)&gt;1,"DUPLICATE PLAYER",IF(D60="","NO OPPONENT",IF(D60=U59,"REPEAT MATCHUP",IF(D60=V59,"REPEAT MATCHUP",IF(D60=W59,"REPEAT MATCHUP",IF(H59=H60,"SAME TEAM","")))))))</f>
        <v/>
      </c>
      <c r="Z59" s="40"/>
      <c r="AA59" t="str">
        <f>IF(Y59="NO OPPONENT","",IF(Y59&lt;&gt;"",CONCATENATE("Previous Matchup Player #: ",VLOOKUP(D59,'Tournament Details'!$C:$X,22,FALSE)," - ",VLOOKUP(D59,'Tournament Details'!$C:$Y,23,FALSE)," - ",VLOOKUP(D59,'Tournament Details'!$C:$Z,24,FALSE)),""))</f>
        <v/>
      </c>
    </row>
    <row r="60" spans="1:27" ht="15" customHeight="1" thickBot="1" x14ac:dyDescent="0.35">
      <c r="A60" s="224"/>
      <c r="B60" s="43">
        <f t="shared" si="5"/>
        <v>0</v>
      </c>
      <c r="C60" s="44" t="str">
        <f t="shared" si="6"/>
        <v/>
      </c>
      <c r="D60" s="74" t="str">
        <f>IF('Tournament Details'!A1&gt;=1,IF('Tournament Details'!C64&lt;=LARGE('Round 3'!$C:$C,1),VLOOKUP(SMALL('Round 3'!$C:$C,58),'Round 3'!$C:$D,2,FALSE),""),"")</f>
        <v/>
      </c>
      <c r="E60" s="44" t="str">
        <f>IF(D60="","",B60+VLOOKUP(D60,'Round 3'!$D:$E,2,FALSE))</f>
        <v/>
      </c>
      <c r="F60" s="44" t="str">
        <f>IF(D60="","",(LARGE('Tournament Details'!$C:$C,1)+1-D60)+E60)</f>
        <v/>
      </c>
      <c r="G60" s="24" t="str">
        <f>D59</f>
        <v/>
      </c>
      <c r="H60" s="26" t="str">
        <f>IF(D60="","",IF(VLOOKUP(D60,'Tournament Details'!$C:$G,5,FALSE)="",D60,VLOOKUP(D60,'Tournament Details'!$C:$G,5,FALSE)))</f>
        <v/>
      </c>
      <c r="I60" s="12" t="str">
        <f>IF(D60=0,"",IF(VLOOKUP(D60,'Tournament Details'!$C:$E,3,FALSE)&gt;0,VLOOKUP(D60,'Tournament Details'!$C:$E,3,FALSE),""))</f>
        <v/>
      </c>
      <c r="J60" s="128"/>
      <c r="K60" s="128"/>
      <c r="L60" s="23"/>
      <c r="M60" s="24"/>
      <c r="N60" s="24"/>
      <c r="O60" s="24"/>
      <c r="P60" s="191">
        <v>0</v>
      </c>
      <c r="Q60" s="183">
        <f t="shared" si="7"/>
        <v>0</v>
      </c>
      <c r="R60" s="135" t="str">
        <f t="shared" si="8"/>
        <v/>
      </c>
      <c r="S60" s="135" t="str">
        <f>IF(Q60="","",IF(Q59+Q60&lt;&gt;20,IF(Q59+Q60&lt;&gt;0,"!",""),""))</f>
        <v/>
      </c>
      <c r="T60" s="21" t="str">
        <f t="shared" si="9"/>
        <v/>
      </c>
      <c r="U60" s="132">
        <f>IF(D60="",0,VLOOKUP(D60,'Tournament Details'!$C:$X,22,FALSE))</f>
        <v>0</v>
      </c>
      <c r="V60" s="132">
        <f>IF(D60="",0,VLOOKUP(D60,'Tournament Details'!$C:$Y,23,FALSE))</f>
        <v>0</v>
      </c>
      <c r="W60" s="132">
        <f>IF(D60="",0,VLOOKUP(D60,'Tournament Details'!$C:$Z,24,FALSE))</f>
        <v>0</v>
      </c>
      <c r="X60" s="132">
        <f>IF(D60="",0,VLOOKUP(D60,'Tournament Details'!$C:$AA,25,FALSE))</f>
        <v>0</v>
      </c>
      <c r="Y60" s="40" t="str">
        <f>IF(D60="","",IF(COUNTIF(D:D,D60)&gt;1,"DUPLICATE PLAYER",IF(D59="","NO OPPONENT",IF(D59=U60,"REPEAT MATCHUP",IF(D59=V60,"REPEAT MATCHUP",IF(D59=W60,"REPEAT MATCHUP",IF(H60=H59,"SAME TEAM","")))))))</f>
        <v/>
      </c>
      <c r="Z60" s="40"/>
      <c r="AA60" t="str">
        <f>IF(Y60="NO OPPONENT","",IF(Y60&lt;&gt;"",CONCATENATE("Previous Matchup Player #: ",VLOOKUP(D60,'Tournament Details'!$C:$X,22,FALSE)," - ",VLOOKUP(D60,'Tournament Details'!$C:$Y,23,FALSE)," - ",VLOOKUP(D60,'Tournament Details'!$C:$Z,24,FALSE)),""))</f>
        <v/>
      </c>
    </row>
    <row r="61" spans="1:27" ht="15" customHeight="1" thickBot="1" x14ac:dyDescent="0.35">
      <c r="A61" s="224" t="str">
        <f>IF('Tournament Details'!A1&gt;=1,IF(LARGE('Tournament Details'!C7:C86,1)&gt;=60,30,""),"")</f>
        <v/>
      </c>
      <c r="B61" s="42">
        <f t="shared" si="5"/>
        <v>0</v>
      </c>
      <c r="C61" s="44" t="str">
        <f t="shared" si="6"/>
        <v/>
      </c>
      <c r="D61" s="66" t="str">
        <f>IF('Tournament Details'!A1&gt;=1,IF('Tournament Details'!C65&lt;=LARGE('Round 3'!$C:$C,1),VLOOKUP(SMALL('Round 3'!$C:$C,59),'Round 3'!$C:$D,2,FALSE),""),"")</f>
        <v/>
      </c>
      <c r="E61" s="44" t="str">
        <f>IF(D61="","",B61+VLOOKUP(D61,'Round 3'!$D:$E,2,FALSE))</f>
        <v/>
      </c>
      <c r="F61" s="44" t="str">
        <f>IF(D61="","",(LARGE('Tournament Details'!$C:$C,1)+1-D61)+E61)</f>
        <v/>
      </c>
      <c r="G61" s="23" t="str">
        <f>D62</f>
        <v/>
      </c>
      <c r="H61" s="25" t="str">
        <f>IF(D61="","",IF(VLOOKUP(D61,'Tournament Details'!$C:$G,5,FALSE)="",D61,VLOOKUP(D61,'Tournament Details'!$C:$G,5,FALSE)))</f>
        <v/>
      </c>
      <c r="I61" s="7" t="str">
        <f>IF(D61=0,"",IF(VLOOKUP(D61,'Tournament Details'!$C:$E,3,FALSE)&gt;0,VLOOKUP(D61,'Tournament Details'!$C:$E,3,FALSE),""))</f>
        <v/>
      </c>
      <c r="J61" s="127"/>
      <c r="K61" s="127"/>
      <c r="L61" s="23"/>
      <c r="M61" s="23"/>
      <c r="N61" s="23"/>
      <c r="O61" s="23"/>
      <c r="P61" s="190">
        <v>0</v>
      </c>
      <c r="Q61" s="183">
        <f t="shared" si="7"/>
        <v>0</v>
      </c>
      <c r="R61" s="135" t="str">
        <f t="shared" si="8"/>
        <v/>
      </c>
      <c r="S61" s="135" t="str">
        <f>IF(Q61="","",IF(Q61+Q62&lt;&gt;20,IF(Q61+Q62&lt;&gt;0,"!",""),""))</f>
        <v/>
      </c>
      <c r="T61" s="21" t="str">
        <f t="shared" si="9"/>
        <v/>
      </c>
      <c r="U61" s="132">
        <f>IF(D61="",0,VLOOKUP(D61,'Tournament Details'!$C:$X,22,FALSE))</f>
        <v>0</v>
      </c>
      <c r="V61" s="132">
        <f>IF(D61="",0,VLOOKUP(D61,'Tournament Details'!$C:$Y,23,FALSE))</f>
        <v>0</v>
      </c>
      <c r="W61" s="132">
        <f>IF(D61="",0,VLOOKUP(D61,'Tournament Details'!$C:$Z,24,FALSE))</f>
        <v>0</v>
      </c>
      <c r="X61" s="132">
        <f>IF(D61="",0,VLOOKUP(D61,'Tournament Details'!$C:$AA,25,FALSE))</f>
        <v>0</v>
      </c>
      <c r="Y61" s="40" t="str">
        <f>IF(D61="","",IF(COUNTIF(D:D,D61)&gt;1,"DUPLICATE PLAYER",IF(D62="","NO OPPONENT",IF(D62=U61,"REPEAT MATCHUP",IF(D62=V61,"REPEAT MATCHUP",IF(D62=W61,"REPEAT MATCHUP",IF(H61=H62,"SAME TEAM","")))))))</f>
        <v/>
      </c>
      <c r="Z61" s="40"/>
      <c r="AA61" t="str">
        <f>IF(Y61="NO OPPONENT","",IF(Y61&lt;&gt;"",CONCATENATE("Previous Matchup Player #: ",VLOOKUP(D61,'Tournament Details'!$C:$X,22,FALSE)," - ",VLOOKUP(D61,'Tournament Details'!$C:$Y,23,FALSE)," - ",VLOOKUP(D61,'Tournament Details'!$C:$Z,24,FALSE)),""))</f>
        <v/>
      </c>
    </row>
    <row r="62" spans="1:27" ht="15" customHeight="1" thickBot="1" x14ac:dyDescent="0.35">
      <c r="A62" s="224"/>
      <c r="B62" s="43">
        <f t="shared" si="5"/>
        <v>0</v>
      </c>
      <c r="C62" s="44" t="str">
        <f t="shared" si="6"/>
        <v/>
      </c>
      <c r="D62" s="74" t="str">
        <f>IF('Tournament Details'!A1&gt;=1,IF('Tournament Details'!C66&lt;=LARGE('Round 3'!$C:$C,1),VLOOKUP(SMALL('Round 3'!$C:$C,60),'Round 3'!$C:$D,2,FALSE),""),"")</f>
        <v/>
      </c>
      <c r="E62" s="44" t="str">
        <f>IF(D62="","",B62+VLOOKUP(D62,'Round 3'!$D:$E,2,FALSE))</f>
        <v/>
      </c>
      <c r="F62" s="44" t="str">
        <f>IF(D62="","",(LARGE('Tournament Details'!$C:$C,1)+1-D62)+E62)</f>
        <v/>
      </c>
      <c r="G62" s="24" t="str">
        <f>D61</f>
        <v/>
      </c>
      <c r="H62" s="26" t="str">
        <f>IF(D62="","",IF(VLOOKUP(D62,'Tournament Details'!$C:$G,5,FALSE)="",D62,VLOOKUP(D62,'Tournament Details'!$C:$G,5,FALSE)))</f>
        <v/>
      </c>
      <c r="I62" s="12" t="str">
        <f>IF(D62=0,"",IF(VLOOKUP(D62,'Tournament Details'!$C:$E,3,FALSE)&gt;0,VLOOKUP(D62,'Tournament Details'!$C:$E,3,FALSE),""))</f>
        <v/>
      </c>
      <c r="J62" s="128"/>
      <c r="K62" s="128"/>
      <c r="L62" s="23"/>
      <c r="M62" s="24"/>
      <c r="N62" s="24"/>
      <c r="O62" s="24"/>
      <c r="P62" s="191">
        <v>0</v>
      </c>
      <c r="Q62" s="183">
        <f t="shared" si="7"/>
        <v>0</v>
      </c>
      <c r="R62" s="135" t="str">
        <f t="shared" si="8"/>
        <v/>
      </c>
      <c r="S62" s="135" t="str">
        <f>IF(Q62="","",IF(Q61+Q62&lt;&gt;20,IF(Q61+Q62&lt;&gt;0,"!",""),""))</f>
        <v/>
      </c>
      <c r="T62" s="21" t="str">
        <f t="shared" si="9"/>
        <v/>
      </c>
      <c r="U62" s="132">
        <f>IF(D62="",0,VLOOKUP(D62,'Tournament Details'!$C:$X,22,FALSE))</f>
        <v>0</v>
      </c>
      <c r="V62" s="132">
        <f>IF(D62="",0,VLOOKUP(D62,'Tournament Details'!$C:$Y,23,FALSE))</f>
        <v>0</v>
      </c>
      <c r="W62" s="132">
        <f>IF(D62="",0,VLOOKUP(D62,'Tournament Details'!$C:$Z,24,FALSE))</f>
        <v>0</v>
      </c>
      <c r="X62" s="132">
        <f>IF(D62="",0,VLOOKUP(D62,'Tournament Details'!$C:$AA,25,FALSE))</f>
        <v>0</v>
      </c>
      <c r="Y62" s="40" t="str">
        <f>IF(D62="","",IF(COUNTIF(D:D,D62)&gt;1,"DUPLICATE PLAYER",IF(D61="","NO OPPONENT",IF(D61=U62,"REPEAT MATCHUP",IF(D61=V62,"REPEAT MATCHUP",IF(D61=W62,"REPEAT MATCHUP",IF(H62=H61,"SAME TEAM","")))))))</f>
        <v/>
      </c>
      <c r="Z62" s="40"/>
      <c r="AA62" t="str">
        <f>IF(Y62="NO OPPONENT","",IF(Y62&lt;&gt;"",CONCATENATE("Previous Matchup Player #: ",VLOOKUP(D62,'Tournament Details'!$C:$X,22,FALSE)," - ",VLOOKUP(D62,'Tournament Details'!$C:$Y,23,FALSE)," - ",VLOOKUP(D62,'Tournament Details'!$C:$Z,24,FALSE)),""))</f>
        <v/>
      </c>
    </row>
    <row r="63" spans="1:27" ht="15" customHeight="1" thickBot="1" x14ac:dyDescent="0.35">
      <c r="A63" s="224" t="str">
        <f>IF('Tournament Details'!A1&gt;=1,IF(LARGE('Tournament Details'!C7:C86,1)&gt;=62,31,""),"")</f>
        <v/>
      </c>
      <c r="B63" s="42">
        <f t="shared" si="5"/>
        <v>0</v>
      </c>
      <c r="C63" s="44" t="str">
        <f t="shared" si="6"/>
        <v/>
      </c>
      <c r="D63" s="66" t="str">
        <f>IF('Tournament Details'!A1&gt;=1,IF('Tournament Details'!C67&lt;=LARGE('Round 3'!$C:$C,1),VLOOKUP(SMALL('Round 3'!$C:$C,61),'Round 3'!$C:$D,2,FALSE),""),"")</f>
        <v/>
      </c>
      <c r="E63" s="44" t="str">
        <f>IF(D63="","",B63+VLOOKUP(D63,'Round 3'!$D:$E,2,FALSE))</f>
        <v/>
      </c>
      <c r="F63" s="44" t="str">
        <f>IF(D63="","",(LARGE('Tournament Details'!$C:$C,1)+1-D63)+E63)</f>
        <v/>
      </c>
      <c r="G63" s="23" t="str">
        <f>D64</f>
        <v/>
      </c>
      <c r="H63" s="25" t="str">
        <f>IF(D63="","",IF(VLOOKUP(D63,'Tournament Details'!$C:$G,5,FALSE)="",D63,VLOOKUP(D63,'Tournament Details'!$C:$G,5,FALSE)))</f>
        <v/>
      </c>
      <c r="I63" s="7" t="str">
        <f>IF(D63=0,"",IF(VLOOKUP(D63,'Tournament Details'!$C:$E,3,FALSE)&gt;0,VLOOKUP(D63,'Tournament Details'!$C:$E,3,FALSE),""))</f>
        <v/>
      </c>
      <c r="J63" s="127"/>
      <c r="K63" s="127"/>
      <c r="L63" s="23"/>
      <c r="M63" s="23"/>
      <c r="N63" s="23"/>
      <c r="O63" s="23"/>
      <c r="P63" s="190">
        <v>0</v>
      </c>
      <c r="Q63" s="183">
        <f t="shared" si="7"/>
        <v>0</v>
      </c>
      <c r="R63" s="135" t="str">
        <f t="shared" si="8"/>
        <v/>
      </c>
      <c r="S63" s="135" t="str">
        <f>IF(Q63="","",IF(Q63+Q64&lt;&gt;20,IF(Q63+Q64&lt;&gt;0,"!",""),""))</f>
        <v/>
      </c>
      <c r="T63" s="21" t="str">
        <f t="shared" si="9"/>
        <v/>
      </c>
      <c r="U63" s="132">
        <f>IF(D63="",0,VLOOKUP(D63,'Tournament Details'!$C:$X,22,FALSE))</f>
        <v>0</v>
      </c>
      <c r="V63" s="132">
        <f>IF(D63="",0,VLOOKUP(D63,'Tournament Details'!$C:$Y,23,FALSE))</f>
        <v>0</v>
      </c>
      <c r="W63" s="132">
        <f>IF(D63="",0,VLOOKUP(D63,'Tournament Details'!$C:$Z,24,FALSE))</f>
        <v>0</v>
      </c>
      <c r="X63" s="132">
        <f>IF(D63="",0,VLOOKUP(D63,'Tournament Details'!$C:$AA,25,FALSE))</f>
        <v>0</v>
      </c>
      <c r="Y63" s="40" t="str">
        <f>IF(D63="","",IF(COUNTIF(D:D,D63)&gt;1,"DUPLICATE PLAYER",IF(D64="","NO OPPONENT",IF(D64=U63,"REPEAT MATCHUP",IF(D64=V63,"REPEAT MATCHUP",IF(D64=W63,"REPEAT MATCHUP",IF(H63=H64,"SAME TEAM","")))))))</f>
        <v/>
      </c>
      <c r="Z63" s="40"/>
      <c r="AA63" t="str">
        <f>IF(Y63="NO OPPONENT","",IF(Y63&lt;&gt;"",CONCATENATE("Previous Matchup Player #: ",VLOOKUP(D63,'Tournament Details'!$C:$X,22,FALSE)," - ",VLOOKUP(D63,'Tournament Details'!$C:$Y,23,FALSE)," - ",VLOOKUP(D63,'Tournament Details'!$C:$Z,24,FALSE)),""))</f>
        <v/>
      </c>
    </row>
    <row r="64" spans="1:27" ht="15" customHeight="1" thickBot="1" x14ac:dyDescent="0.35">
      <c r="A64" s="224"/>
      <c r="B64" s="43">
        <f t="shared" si="5"/>
        <v>0</v>
      </c>
      <c r="C64" s="44" t="str">
        <f t="shared" si="6"/>
        <v/>
      </c>
      <c r="D64" s="74" t="str">
        <f>IF('Tournament Details'!A1&gt;=1,IF('Tournament Details'!C68&lt;=LARGE('Round 3'!$C:$C,1),VLOOKUP(SMALL('Round 3'!$C:$C,62),'Round 3'!$C:$D,2,FALSE),""),"")</f>
        <v/>
      </c>
      <c r="E64" s="44" t="str">
        <f>IF(D64="","",B64+VLOOKUP(D64,'Round 3'!$D:$E,2,FALSE))</f>
        <v/>
      </c>
      <c r="F64" s="44" t="str">
        <f>IF(D64="","",(LARGE('Tournament Details'!$C:$C,1)+1-D64)+E64)</f>
        <v/>
      </c>
      <c r="G64" s="24" t="str">
        <f>D63</f>
        <v/>
      </c>
      <c r="H64" s="26" t="str">
        <f>IF(D64="","",IF(VLOOKUP(D64,'Tournament Details'!$C:$G,5,FALSE)="",D64,VLOOKUP(D64,'Tournament Details'!$C:$G,5,FALSE)))</f>
        <v/>
      </c>
      <c r="I64" s="12" t="str">
        <f>IF(D64=0,"",IF(VLOOKUP(D64,'Tournament Details'!$C:$E,3,FALSE)&gt;0,VLOOKUP(D64,'Tournament Details'!$C:$E,3,FALSE),""))</f>
        <v/>
      </c>
      <c r="J64" s="128"/>
      <c r="K64" s="128"/>
      <c r="L64" s="23"/>
      <c r="M64" s="24"/>
      <c r="N64" s="24"/>
      <c r="O64" s="24"/>
      <c r="P64" s="191">
        <v>0</v>
      </c>
      <c r="Q64" s="183">
        <f t="shared" si="7"/>
        <v>0</v>
      </c>
      <c r="R64" s="135" t="str">
        <f t="shared" si="8"/>
        <v/>
      </c>
      <c r="S64" s="135" t="str">
        <f>IF(Q64="","",IF(Q63+Q64&lt;&gt;20,IF(Q63+Q64&lt;&gt;0,"!",""),""))</f>
        <v/>
      </c>
      <c r="T64" s="21" t="str">
        <f t="shared" si="9"/>
        <v/>
      </c>
      <c r="U64" s="132">
        <f>IF(D64="",0,VLOOKUP(D64,'Tournament Details'!$C:$X,22,FALSE))</f>
        <v>0</v>
      </c>
      <c r="V64" s="132">
        <f>IF(D64="",0,VLOOKUP(D64,'Tournament Details'!$C:$Y,23,FALSE))</f>
        <v>0</v>
      </c>
      <c r="W64" s="132">
        <f>IF(D64="",0,VLOOKUP(D64,'Tournament Details'!$C:$Z,24,FALSE))</f>
        <v>0</v>
      </c>
      <c r="X64" s="132">
        <f>IF(D64="",0,VLOOKUP(D64,'Tournament Details'!$C:$AA,25,FALSE))</f>
        <v>0</v>
      </c>
      <c r="Y64" s="40" t="str">
        <f>IF(D64="","",IF(COUNTIF(D:D,D64)&gt;1,"DUPLICATE PLAYER",IF(D63="","NO OPPONENT",IF(D63=U64,"REPEAT MATCHUP",IF(D63=V64,"REPEAT MATCHUP",IF(D63=W64,"REPEAT MATCHUP",IF(H64=H63,"SAME TEAM","")))))))</f>
        <v/>
      </c>
      <c r="Z64" s="40"/>
      <c r="AA64" t="str">
        <f>IF(Y64="NO OPPONENT","",IF(Y64&lt;&gt;"",CONCATENATE("Previous Matchup Player #: ",VLOOKUP(D64,'Tournament Details'!$C:$X,22,FALSE)," - ",VLOOKUP(D64,'Tournament Details'!$C:$Y,23,FALSE)," - ",VLOOKUP(D64,'Tournament Details'!$C:$Z,24,FALSE)),""))</f>
        <v/>
      </c>
    </row>
    <row r="65" spans="1:27" ht="15" customHeight="1" thickBot="1" x14ac:dyDescent="0.35">
      <c r="A65" s="224" t="str">
        <f>IF('Tournament Details'!A1&gt;=1,IF(LARGE('Tournament Details'!C7:C86,1)&gt;=64,32,""),"")</f>
        <v/>
      </c>
      <c r="B65" s="42">
        <f t="shared" si="5"/>
        <v>0</v>
      </c>
      <c r="C65" s="44" t="str">
        <f t="shared" si="6"/>
        <v/>
      </c>
      <c r="D65" s="66" t="str">
        <f>IF('Tournament Details'!A1&gt;=1,IF('Tournament Details'!C69&lt;=LARGE('Round 3'!$C:$C,1),VLOOKUP(SMALL('Round 3'!$C:$C,63),'Round 3'!$C:$D,2,FALSE),""),"")</f>
        <v/>
      </c>
      <c r="E65" s="44" t="str">
        <f>IF(D65="","",B65+VLOOKUP(D65,'Round 3'!$D:$E,2,FALSE))</f>
        <v/>
      </c>
      <c r="F65" s="44" t="str">
        <f>IF(D65="","",(LARGE('Tournament Details'!$C:$C,1)+1-D65)+E65)</f>
        <v/>
      </c>
      <c r="G65" s="23" t="str">
        <f>D66</f>
        <v/>
      </c>
      <c r="H65" s="25" t="str">
        <f>IF(D65="","",IF(VLOOKUP(D65,'Tournament Details'!$C:$G,5,FALSE)="",D65,VLOOKUP(D65,'Tournament Details'!$C:$G,5,FALSE)))</f>
        <v/>
      </c>
      <c r="I65" s="7" t="str">
        <f>IF(D65=0,"",IF(VLOOKUP(D65,'Tournament Details'!$C:$E,3,FALSE)&gt;0,VLOOKUP(D65,'Tournament Details'!$C:$E,3,FALSE),""))</f>
        <v/>
      </c>
      <c r="J65" s="127"/>
      <c r="K65" s="127"/>
      <c r="L65" s="23"/>
      <c r="M65" s="23"/>
      <c r="N65" s="23"/>
      <c r="O65" s="23"/>
      <c r="P65" s="190">
        <v>0</v>
      </c>
      <c r="Q65" s="183">
        <f t="shared" si="7"/>
        <v>0</v>
      </c>
      <c r="R65" s="135" t="str">
        <f t="shared" si="8"/>
        <v/>
      </c>
      <c r="S65" s="135" t="str">
        <f>IF(Q65="","",IF(Q65+Q66&lt;&gt;20,IF(Q65+Q66&lt;&gt;0,"!",""),""))</f>
        <v/>
      </c>
      <c r="T65" s="21" t="str">
        <f t="shared" si="9"/>
        <v/>
      </c>
      <c r="U65" s="132">
        <f>IF(D65="",0,VLOOKUP(D65,'Tournament Details'!$C:$X,22,FALSE))</f>
        <v>0</v>
      </c>
      <c r="V65" s="132">
        <f>IF(D65="",0,VLOOKUP(D65,'Tournament Details'!$C:$Y,23,FALSE))</f>
        <v>0</v>
      </c>
      <c r="W65" s="132">
        <f>IF(D65="",0,VLOOKUP(D65,'Tournament Details'!$C:$Z,24,FALSE))</f>
        <v>0</v>
      </c>
      <c r="X65" s="132">
        <f>IF(D65="",0,VLOOKUP(D65,'Tournament Details'!$C:$AA,25,FALSE))</f>
        <v>0</v>
      </c>
      <c r="Y65" s="40" t="str">
        <f>IF(D65="","",IF(COUNTIF(D:D,D65)&gt;1,"DUPLICATE PLAYER",IF(D66="","NO OPPONENT",IF(D66=U65,"REPEAT MATCHUP",IF(D66=V65,"REPEAT MATCHUP",IF(D66=W65,"REPEAT MATCHUP",IF(H65=H66,"SAME TEAM","")))))))</f>
        <v/>
      </c>
      <c r="Z65" s="40"/>
      <c r="AA65" t="str">
        <f>IF(Y65="NO OPPONENT","",IF(Y65&lt;&gt;"",CONCATENATE("Previous Matchup Player #: ",VLOOKUP(D65,'Tournament Details'!$C:$X,22,FALSE)," - ",VLOOKUP(D65,'Tournament Details'!$C:$Y,23,FALSE)," - ",VLOOKUP(D65,'Tournament Details'!$C:$Z,24,FALSE)),""))</f>
        <v/>
      </c>
    </row>
    <row r="66" spans="1:27" ht="15" customHeight="1" thickBot="1" x14ac:dyDescent="0.35">
      <c r="A66" s="224"/>
      <c r="B66" s="43">
        <f t="shared" si="5"/>
        <v>0</v>
      </c>
      <c r="C66" s="44" t="str">
        <f t="shared" si="6"/>
        <v/>
      </c>
      <c r="D66" s="74" t="str">
        <f>IF('Tournament Details'!A1&gt;=1,IF('Tournament Details'!C70&lt;=LARGE('Round 3'!$C:$C,1),VLOOKUP(SMALL('Round 3'!$C:$C,64),'Round 3'!$C:$D,2,FALSE),""),"")</f>
        <v/>
      </c>
      <c r="E66" s="44" t="str">
        <f>IF(D66="","",B66+VLOOKUP(D66,'Round 3'!$D:$E,2,FALSE))</f>
        <v/>
      </c>
      <c r="F66" s="44" t="str">
        <f>IF(D66="","",(LARGE('Tournament Details'!$C:$C,1)+1-D66)+E66)</f>
        <v/>
      </c>
      <c r="G66" s="24" t="str">
        <f>D65</f>
        <v/>
      </c>
      <c r="H66" s="26" t="str">
        <f>IF(D66="","",IF(VLOOKUP(D66,'Tournament Details'!$C:$G,5,FALSE)="",D66,VLOOKUP(D66,'Tournament Details'!$C:$G,5,FALSE)))</f>
        <v/>
      </c>
      <c r="I66" s="12" t="str">
        <f>IF(D66=0,"",IF(VLOOKUP(D66,'Tournament Details'!$C:$E,3,FALSE)&gt;0,VLOOKUP(D66,'Tournament Details'!$C:$E,3,FALSE),""))</f>
        <v/>
      </c>
      <c r="J66" s="128"/>
      <c r="K66" s="128"/>
      <c r="L66" s="23"/>
      <c r="M66" s="24"/>
      <c r="N66" s="24"/>
      <c r="O66" s="24"/>
      <c r="P66" s="191">
        <v>0</v>
      </c>
      <c r="Q66" s="183">
        <f t="shared" si="7"/>
        <v>0</v>
      </c>
      <c r="R66" s="135" t="str">
        <f t="shared" si="8"/>
        <v/>
      </c>
      <c r="S66" s="135" t="str">
        <f>IF(Q66="","",IF(Q65+Q66&lt;&gt;20,IF(Q65+Q66&lt;&gt;0,"!",""),""))</f>
        <v/>
      </c>
      <c r="T66" s="21" t="str">
        <f t="shared" si="9"/>
        <v/>
      </c>
      <c r="U66" s="132">
        <f>IF(D66="",0,VLOOKUP(D66,'Tournament Details'!$C:$X,22,FALSE))</f>
        <v>0</v>
      </c>
      <c r="V66" s="132">
        <f>IF(D66="",0,VLOOKUP(D66,'Tournament Details'!$C:$Y,23,FALSE))</f>
        <v>0</v>
      </c>
      <c r="W66" s="132">
        <f>IF(D66="",0,VLOOKUP(D66,'Tournament Details'!$C:$Z,24,FALSE))</f>
        <v>0</v>
      </c>
      <c r="X66" s="132">
        <f>IF(D66="",0,VLOOKUP(D66,'Tournament Details'!$C:$AA,25,FALSE))</f>
        <v>0</v>
      </c>
      <c r="Y66" s="40" t="str">
        <f>IF(D66="","",IF(COUNTIF(D:D,D66)&gt;1,"DUPLICATE PLAYER",IF(D65="","NO OPPONENT",IF(D65=U66,"REPEAT MATCHUP",IF(D65=V66,"REPEAT MATCHUP",IF(D65=W66,"REPEAT MATCHUP",IF(H66=H65,"SAME TEAM","")))))))</f>
        <v/>
      </c>
      <c r="Z66" s="40"/>
      <c r="AA66" t="str">
        <f>IF(Y66="NO OPPONENT","",IF(Y66&lt;&gt;"",CONCATENATE("Previous Matchup Player #: ",VLOOKUP(D66,'Tournament Details'!$C:$X,22,FALSE)," - ",VLOOKUP(D66,'Tournament Details'!$C:$Y,23,FALSE)," - ",VLOOKUP(D66,'Tournament Details'!$C:$Z,24,FALSE)),""))</f>
        <v/>
      </c>
    </row>
    <row r="67" spans="1:27" ht="15" customHeight="1" thickBot="1" x14ac:dyDescent="0.35">
      <c r="A67" s="224" t="str">
        <f>IF('Tournament Details'!A1&gt;=1,IF(LARGE('Tournament Details'!C7:C86,1)&gt;=66,33,""),"")</f>
        <v/>
      </c>
      <c r="B67" s="42">
        <f t="shared" ref="B67:B82" si="10">IF(Q67="","",(Q67*10000)+K67)</f>
        <v>0</v>
      </c>
      <c r="C67" s="44" t="str">
        <f t="shared" ref="C67:C82" si="11">IF(D67="","",IF(COUNTIF(E:E,E67)=1,RANK(E67,E:E),RANK(F67,F:F)))</f>
        <v/>
      </c>
      <c r="D67" s="66" t="str">
        <f>IF('Tournament Details'!A1&gt;=1,IF('Tournament Details'!C71&lt;=LARGE('Round 3'!$C:$C,1),VLOOKUP(SMALL('Round 3'!$C:$C,65),'Round 3'!$C:$D,2,FALSE),""),"")</f>
        <v/>
      </c>
      <c r="E67" s="44" t="str">
        <f>IF(D67="","",B67+VLOOKUP(D67,'Round 3'!$D:$E,2,FALSE))</f>
        <v/>
      </c>
      <c r="F67" s="44" t="str">
        <f>IF(D67="","",(LARGE('Tournament Details'!$C:$C,1)+1-D67)+E67)</f>
        <v/>
      </c>
      <c r="G67" s="23" t="str">
        <f>D68</f>
        <v/>
      </c>
      <c r="H67" s="25" t="str">
        <f>IF(D67="","",IF(VLOOKUP(D67,'Tournament Details'!$C:$G,5,FALSE)="",D67,VLOOKUP(D67,'Tournament Details'!$C:$G,5,FALSE)))</f>
        <v/>
      </c>
      <c r="I67" s="7" t="str">
        <f>IF(D67=0,"",IF(VLOOKUP(D67,'Tournament Details'!$C:$E,3,FALSE)&gt;0,VLOOKUP(D67,'Tournament Details'!$C:$E,3,FALSE),""))</f>
        <v/>
      </c>
      <c r="J67" s="127"/>
      <c r="K67" s="127"/>
      <c r="L67" s="23"/>
      <c r="M67" s="23"/>
      <c r="N67" s="23"/>
      <c r="O67" s="23"/>
      <c r="P67" s="190">
        <v>0</v>
      </c>
      <c r="Q67" s="183">
        <f t="shared" ref="Q67:Q82" si="12">IF(P67="",0,P67)</f>
        <v>0</v>
      </c>
      <c r="R67" s="135" t="str">
        <f t="shared" ref="R67:R82" si="13">IF(J67="","",IF(J67&gt;16,"!",IF(J67&lt;4,"!","")))</f>
        <v/>
      </c>
      <c r="S67" s="135" t="str">
        <f>IF(Q67="","",IF(Q67+Q68&lt;&gt;20,IF(Q67+Q68&lt;&gt;0,"!",""),""))</f>
        <v/>
      </c>
      <c r="T67" s="21" t="str">
        <f t="shared" ref="T67:T82" si="14">IF(R67="!","!",IF(S67="!","!",""))</f>
        <v/>
      </c>
      <c r="U67" s="132">
        <f>IF(D67="",0,VLOOKUP(D67,'Tournament Details'!$C:$X,22,FALSE))</f>
        <v>0</v>
      </c>
      <c r="V67" s="132">
        <f>IF(D67="",0,VLOOKUP(D67,'Tournament Details'!$C:$Y,23,FALSE))</f>
        <v>0</v>
      </c>
      <c r="W67" s="132">
        <f>IF(D67="",0,VLOOKUP(D67,'Tournament Details'!$C:$Z,24,FALSE))</f>
        <v>0</v>
      </c>
      <c r="X67" s="132">
        <f>IF(D67="",0,VLOOKUP(D67,'Tournament Details'!$C:$AA,25,FALSE))</f>
        <v>0</v>
      </c>
      <c r="Y67" s="40" t="str">
        <f>IF(D67="","",IF(COUNTIF(D:D,D67)&gt;1,"DUPLICATE PLAYER",IF(D68="","NO OPPONENT",IF(D68=U67,"REPEAT MATCHUP",IF(D68=V67,"REPEAT MATCHUP",IF(D68=W67,"REPEAT MATCHUP",IF(H67=H68,"SAME TEAM","")))))))</f>
        <v/>
      </c>
      <c r="Z67" s="40"/>
      <c r="AA67" t="str">
        <f>IF(Y67="NO OPPONENT","",IF(Y67&lt;&gt;"",CONCATENATE("Previous Matchup Player #: ",VLOOKUP(D67,'Tournament Details'!$C:$X,22,FALSE)," - ",VLOOKUP(D67,'Tournament Details'!$C:$Y,23,FALSE)," - ",VLOOKUP(D67,'Tournament Details'!$C:$Z,24,FALSE)),""))</f>
        <v/>
      </c>
    </row>
    <row r="68" spans="1:27" ht="15" customHeight="1" thickBot="1" x14ac:dyDescent="0.35">
      <c r="A68" s="224"/>
      <c r="B68" s="43">
        <f t="shared" si="10"/>
        <v>0</v>
      </c>
      <c r="C68" s="44" t="str">
        <f t="shared" si="11"/>
        <v/>
      </c>
      <c r="D68" s="74" t="str">
        <f>IF('Tournament Details'!A1&gt;=1,IF('Tournament Details'!C72&lt;=LARGE('Round 3'!$C:$C,1),VLOOKUP(SMALL('Round 3'!$C:$C,66),'Round 3'!$C:$D,2,FALSE),""),"")</f>
        <v/>
      </c>
      <c r="E68" s="44" t="str">
        <f>IF(D68="","",B68+VLOOKUP(D68,'Round 3'!$D:$E,2,FALSE))</f>
        <v/>
      </c>
      <c r="F68" s="44" t="str">
        <f>IF(D68="","",(LARGE('Tournament Details'!$C:$C,1)+1-D68)+E68)</f>
        <v/>
      </c>
      <c r="G68" s="24" t="str">
        <f>D67</f>
        <v/>
      </c>
      <c r="H68" s="26" t="str">
        <f>IF(D68="","",IF(VLOOKUP(D68,'Tournament Details'!$C:$G,5,FALSE)="",D68,VLOOKUP(D68,'Tournament Details'!$C:$G,5,FALSE)))</f>
        <v/>
      </c>
      <c r="I68" s="12" t="str">
        <f>IF(D68=0,"",IF(VLOOKUP(D68,'Tournament Details'!$C:$E,3,FALSE)&gt;0,VLOOKUP(D68,'Tournament Details'!$C:$E,3,FALSE),""))</f>
        <v/>
      </c>
      <c r="J68" s="128"/>
      <c r="K68" s="128"/>
      <c r="L68" s="23"/>
      <c r="M68" s="24"/>
      <c r="N68" s="24"/>
      <c r="O68" s="24"/>
      <c r="P68" s="191">
        <v>0</v>
      </c>
      <c r="Q68" s="183">
        <f t="shared" si="12"/>
        <v>0</v>
      </c>
      <c r="R68" s="135" t="str">
        <f t="shared" si="13"/>
        <v/>
      </c>
      <c r="S68" s="135" t="str">
        <f>IF(Q68="","",IF(Q67+Q68&lt;&gt;20,IF(Q67+Q68&lt;&gt;0,"!",""),""))</f>
        <v/>
      </c>
      <c r="T68" s="21" t="str">
        <f t="shared" si="14"/>
        <v/>
      </c>
      <c r="U68" s="132">
        <f>IF(D68="",0,VLOOKUP(D68,'Tournament Details'!$C:$X,22,FALSE))</f>
        <v>0</v>
      </c>
      <c r="V68" s="132">
        <f>IF(D68="",0,VLOOKUP(D68,'Tournament Details'!$C:$Y,23,FALSE))</f>
        <v>0</v>
      </c>
      <c r="W68" s="132">
        <f>IF(D68="",0,VLOOKUP(D68,'Tournament Details'!$C:$Z,24,FALSE))</f>
        <v>0</v>
      </c>
      <c r="X68" s="132">
        <f>IF(D68="",0,VLOOKUP(D68,'Tournament Details'!$C:$AA,25,FALSE))</f>
        <v>0</v>
      </c>
      <c r="Y68" s="40" t="str">
        <f>IF(D68="","",IF(COUNTIF(D:D,D68)&gt;1,"DUPLICATE PLAYER",IF(D67="","NO OPPONENT",IF(D67=U68,"REPEAT MATCHUP",IF(D67=V68,"REPEAT MATCHUP",IF(D67=W68,"REPEAT MATCHUP",IF(H68=H67,"SAME TEAM","")))))))</f>
        <v/>
      </c>
      <c r="Z68" s="40"/>
      <c r="AA68" t="str">
        <f>IF(Y68="NO OPPONENT","",IF(Y68&lt;&gt;"",CONCATENATE("Previous Matchup Player #: ",VLOOKUP(D68,'Tournament Details'!$C:$X,22,FALSE)," - ",VLOOKUP(D68,'Tournament Details'!$C:$Y,23,FALSE)," - ",VLOOKUP(D68,'Tournament Details'!$C:$Z,24,FALSE)),""))</f>
        <v/>
      </c>
    </row>
    <row r="69" spans="1:27" ht="15" customHeight="1" thickBot="1" x14ac:dyDescent="0.35">
      <c r="A69" s="224" t="str">
        <f>IF('Tournament Details'!A1&gt;=1,IF(LARGE('Tournament Details'!C7:C86,1)&gt;=68,34,""),"")</f>
        <v/>
      </c>
      <c r="B69" s="42">
        <f t="shared" si="10"/>
        <v>0</v>
      </c>
      <c r="C69" s="44" t="str">
        <f t="shared" si="11"/>
        <v/>
      </c>
      <c r="D69" s="66" t="str">
        <f>IF('Tournament Details'!A1&gt;=1,IF('Tournament Details'!C73&lt;=LARGE('Round 3'!$C:$C,1),VLOOKUP(SMALL('Round 3'!$C:$C,67),'Round 3'!$C:$D,2,FALSE),""),"")</f>
        <v/>
      </c>
      <c r="E69" s="44" t="str">
        <f>IF(D69="","",B69+VLOOKUP(D69,'Round 3'!$D:$E,2,FALSE))</f>
        <v/>
      </c>
      <c r="F69" s="44" t="str">
        <f>IF(D69="","",(LARGE('Tournament Details'!$C:$C,1)+1-D69)+E69)</f>
        <v/>
      </c>
      <c r="G69" s="23" t="str">
        <f>D70</f>
        <v/>
      </c>
      <c r="H69" s="25" t="str">
        <f>IF(D69="","",IF(VLOOKUP(D69,'Tournament Details'!$C:$G,5,FALSE)="",D69,VLOOKUP(D69,'Tournament Details'!$C:$G,5,FALSE)))</f>
        <v/>
      </c>
      <c r="I69" s="7" t="str">
        <f>IF(D69=0,"",IF(VLOOKUP(D69,'Tournament Details'!$C:$E,3,FALSE)&gt;0,VLOOKUP(D69,'Tournament Details'!$C:$E,3,FALSE),""))</f>
        <v/>
      </c>
      <c r="J69" s="127"/>
      <c r="K69" s="127"/>
      <c r="L69" s="23"/>
      <c r="M69" s="23"/>
      <c r="N69" s="23"/>
      <c r="O69" s="23"/>
      <c r="P69" s="190">
        <v>0</v>
      </c>
      <c r="Q69" s="183">
        <f t="shared" si="12"/>
        <v>0</v>
      </c>
      <c r="R69" s="135" t="str">
        <f t="shared" si="13"/>
        <v/>
      </c>
      <c r="S69" s="135" t="str">
        <f>IF(Q69="","",IF(Q69+Q70&lt;&gt;20,IF(Q69+Q70&lt;&gt;0,"!",""),""))</f>
        <v/>
      </c>
      <c r="T69" s="21" t="str">
        <f t="shared" si="14"/>
        <v/>
      </c>
      <c r="U69" s="132">
        <f>IF(D69="",0,VLOOKUP(D69,'Tournament Details'!$C:$X,22,FALSE))</f>
        <v>0</v>
      </c>
      <c r="V69" s="132">
        <f>IF(D69="",0,VLOOKUP(D69,'Tournament Details'!$C:$Y,23,FALSE))</f>
        <v>0</v>
      </c>
      <c r="W69" s="132">
        <f>IF(D69="",0,VLOOKUP(D69,'Tournament Details'!$C:$Z,24,FALSE))</f>
        <v>0</v>
      </c>
      <c r="X69" s="132">
        <f>IF(D69="",0,VLOOKUP(D69,'Tournament Details'!$C:$AA,25,FALSE))</f>
        <v>0</v>
      </c>
      <c r="Y69" s="40" t="str">
        <f>IF(D69="","",IF(COUNTIF(D:D,D69)&gt;1,"DUPLICATE PLAYER",IF(D70="","NO OPPONENT",IF(D70=U69,"REPEAT MATCHUP",IF(D70=V69,"REPEAT MATCHUP",IF(D70=W69,"REPEAT MATCHUP",IF(H69=H70,"SAME TEAM","")))))))</f>
        <v/>
      </c>
      <c r="Z69" s="40"/>
      <c r="AA69" t="str">
        <f>IF(Y69="NO OPPONENT","",IF(Y69&lt;&gt;"",CONCATENATE("Previous Matchup Player #: ",VLOOKUP(D69,'Tournament Details'!$C:$X,22,FALSE)," - ",VLOOKUP(D69,'Tournament Details'!$C:$Y,23,FALSE)," - ",VLOOKUP(D69,'Tournament Details'!$C:$Z,24,FALSE)),""))</f>
        <v/>
      </c>
    </row>
    <row r="70" spans="1:27" ht="15" customHeight="1" thickBot="1" x14ac:dyDescent="0.35">
      <c r="A70" s="224"/>
      <c r="B70" s="43">
        <f t="shared" si="10"/>
        <v>0</v>
      </c>
      <c r="C70" s="44" t="str">
        <f t="shared" si="11"/>
        <v/>
      </c>
      <c r="D70" s="74" t="str">
        <f>IF('Tournament Details'!A1&gt;=1,IF('Tournament Details'!C74&lt;=LARGE('Round 3'!$C:$C,1),VLOOKUP(SMALL('Round 3'!$C:$C,68),'Round 3'!$C:$D,2,FALSE),""),"")</f>
        <v/>
      </c>
      <c r="E70" s="44" t="str">
        <f>IF(D70="","",B70+VLOOKUP(D70,'Round 3'!$D:$E,2,FALSE))</f>
        <v/>
      </c>
      <c r="F70" s="44" t="str">
        <f>IF(D70="","",(LARGE('Tournament Details'!$C:$C,1)+1-D70)+E70)</f>
        <v/>
      </c>
      <c r="G70" s="24" t="str">
        <f>D69</f>
        <v/>
      </c>
      <c r="H70" s="26" t="str">
        <f>IF(D70="","",IF(VLOOKUP(D70,'Tournament Details'!$C:$G,5,FALSE)="",D70,VLOOKUP(D70,'Tournament Details'!$C:$G,5,FALSE)))</f>
        <v/>
      </c>
      <c r="I70" s="12" t="str">
        <f>IF(D70=0,"",IF(VLOOKUP(D70,'Tournament Details'!$C:$E,3,FALSE)&gt;0,VLOOKUP(D70,'Tournament Details'!$C:$E,3,FALSE),""))</f>
        <v/>
      </c>
      <c r="J70" s="128"/>
      <c r="K70" s="128"/>
      <c r="L70" s="23"/>
      <c r="M70" s="24"/>
      <c r="N70" s="24"/>
      <c r="O70" s="24"/>
      <c r="P70" s="191">
        <v>0</v>
      </c>
      <c r="Q70" s="183">
        <f t="shared" si="12"/>
        <v>0</v>
      </c>
      <c r="R70" s="135" t="str">
        <f t="shared" si="13"/>
        <v/>
      </c>
      <c r="S70" s="135" t="str">
        <f>IF(Q70="","",IF(Q69+Q70&lt;&gt;20,IF(Q69+Q70&lt;&gt;0,"!",""),""))</f>
        <v/>
      </c>
      <c r="T70" s="21" t="str">
        <f t="shared" si="14"/>
        <v/>
      </c>
      <c r="U70" s="132">
        <f>IF(D70="",0,VLOOKUP(D70,'Tournament Details'!$C:$X,22,FALSE))</f>
        <v>0</v>
      </c>
      <c r="V70" s="132">
        <f>IF(D70="",0,VLOOKUP(D70,'Tournament Details'!$C:$Y,23,FALSE))</f>
        <v>0</v>
      </c>
      <c r="W70" s="132">
        <f>IF(D70="",0,VLOOKUP(D70,'Tournament Details'!$C:$Z,24,FALSE))</f>
        <v>0</v>
      </c>
      <c r="X70" s="132">
        <f>IF(D70="",0,VLOOKUP(D70,'Tournament Details'!$C:$AA,25,FALSE))</f>
        <v>0</v>
      </c>
      <c r="Y70" s="40" t="str">
        <f>IF(D70="","",IF(COUNTIF(D:D,D70)&gt;1,"DUPLICATE PLAYER",IF(D69="","NO OPPONENT",IF(D69=U70,"REPEAT MATCHUP",IF(D69=V70,"REPEAT MATCHUP",IF(D69=W70,"REPEAT MATCHUP",IF(H70=H69,"SAME TEAM","")))))))</f>
        <v/>
      </c>
      <c r="Z70" s="40"/>
      <c r="AA70" t="str">
        <f>IF(Y70="NO OPPONENT","",IF(Y70&lt;&gt;"",CONCATENATE("Previous Matchup Player #: ",VLOOKUP(D70,'Tournament Details'!$C:$X,22,FALSE)," - ",VLOOKUP(D70,'Tournament Details'!$C:$Y,23,FALSE)," - ",VLOOKUP(D70,'Tournament Details'!$C:$Z,24,FALSE)),""))</f>
        <v/>
      </c>
    </row>
    <row r="71" spans="1:27" ht="15" customHeight="1" thickBot="1" x14ac:dyDescent="0.35">
      <c r="A71" s="224" t="str">
        <f>IF('Tournament Details'!A1&gt;=1,IF(LARGE('Tournament Details'!C7:C86,1)&gt;=70,35,""),"")</f>
        <v/>
      </c>
      <c r="B71" s="42">
        <f t="shared" si="10"/>
        <v>0</v>
      </c>
      <c r="C71" s="44" t="str">
        <f t="shared" si="11"/>
        <v/>
      </c>
      <c r="D71" s="66" t="str">
        <f>IF('Tournament Details'!A1&gt;=1,IF('Tournament Details'!C75&lt;=LARGE('Round 3'!$C:$C,1),VLOOKUP(SMALL('Round 3'!$C:$C,69),'Round 3'!$C:$D,2,FALSE),""),"")</f>
        <v/>
      </c>
      <c r="E71" s="44" t="str">
        <f>IF(D71="","",B71+VLOOKUP(D71,'Round 3'!$D:$E,2,FALSE))</f>
        <v/>
      </c>
      <c r="F71" s="44" t="str">
        <f>IF(D71="","",(LARGE('Tournament Details'!$C:$C,1)+1-D71)+E71)</f>
        <v/>
      </c>
      <c r="G71" s="23" t="str">
        <f>D72</f>
        <v/>
      </c>
      <c r="H71" s="25" t="str">
        <f>IF(D71="","",IF(VLOOKUP(D71,'Tournament Details'!$C:$G,5,FALSE)="",D71,VLOOKUP(D71,'Tournament Details'!$C:$G,5,FALSE)))</f>
        <v/>
      </c>
      <c r="I71" s="7" t="str">
        <f>IF(D71=0,"",IF(VLOOKUP(D71,'Tournament Details'!$C:$E,3,FALSE)&gt;0,VLOOKUP(D71,'Tournament Details'!$C:$E,3,FALSE),""))</f>
        <v/>
      </c>
      <c r="J71" s="127"/>
      <c r="K71" s="127"/>
      <c r="L71" s="23"/>
      <c r="M71" s="23"/>
      <c r="N71" s="23"/>
      <c r="O71" s="23"/>
      <c r="P71" s="190">
        <v>0</v>
      </c>
      <c r="Q71" s="183">
        <f t="shared" si="12"/>
        <v>0</v>
      </c>
      <c r="R71" s="135" t="str">
        <f t="shared" si="13"/>
        <v/>
      </c>
      <c r="S71" s="135" t="str">
        <f>IF(Q71="","",IF(Q71+Q72&lt;&gt;20,IF(Q71+Q72&lt;&gt;0,"!",""),""))</f>
        <v/>
      </c>
      <c r="T71" s="21" t="str">
        <f t="shared" si="14"/>
        <v/>
      </c>
      <c r="U71" s="132">
        <f>IF(D71="",0,VLOOKUP(D71,'Tournament Details'!$C:$X,22,FALSE))</f>
        <v>0</v>
      </c>
      <c r="V71" s="132">
        <f>IF(D71="",0,VLOOKUP(D71,'Tournament Details'!$C:$Y,23,FALSE))</f>
        <v>0</v>
      </c>
      <c r="W71" s="132">
        <f>IF(D71="",0,VLOOKUP(D71,'Tournament Details'!$C:$Z,24,FALSE))</f>
        <v>0</v>
      </c>
      <c r="X71" s="132">
        <f>IF(D71="",0,VLOOKUP(D71,'Tournament Details'!$C:$AA,25,FALSE))</f>
        <v>0</v>
      </c>
      <c r="Y71" s="40" t="str">
        <f>IF(D71="","",IF(COUNTIF(D:D,D71)&gt;1,"DUPLICATE PLAYER",IF(D72="","NO OPPONENT",IF(D72=U71,"REPEAT MATCHUP",IF(D72=V71,"REPEAT MATCHUP",IF(D72=W71,"REPEAT MATCHUP",IF(H71=H72,"SAME TEAM","")))))))</f>
        <v/>
      </c>
      <c r="Z71" s="40"/>
      <c r="AA71" t="str">
        <f>IF(Y71="NO OPPONENT","",IF(Y71&lt;&gt;"",CONCATENATE("Previous Matchup Player #: ",VLOOKUP(D71,'Tournament Details'!$C:$X,22,FALSE)," - ",VLOOKUP(D71,'Tournament Details'!$C:$Y,23,FALSE)," - ",VLOOKUP(D71,'Tournament Details'!$C:$Z,24,FALSE)),""))</f>
        <v/>
      </c>
    </row>
    <row r="72" spans="1:27" ht="15" customHeight="1" thickBot="1" x14ac:dyDescent="0.35">
      <c r="A72" s="224"/>
      <c r="B72" s="43">
        <f t="shared" si="10"/>
        <v>0</v>
      </c>
      <c r="C72" s="44" t="str">
        <f t="shared" si="11"/>
        <v/>
      </c>
      <c r="D72" s="74" t="str">
        <f>IF('Tournament Details'!A1&gt;=1,IF('Tournament Details'!C76&lt;=LARGE('Round 3'!$C:$C,1),VLOOKUP(SMALL('Round 3'!$C:$C,70),'Round 3'!$C:$D,2,FALSE),""),"")</f>
        <v/>
      </c>
      <c r="E72" s="44" t="str">
        <f>IF(D72="","",B72+VLOOKUP(D72,'Round 3'!$D:$E,2,FALSE))</f>
        <v/>
      </c>
      <c r="F72" s="44" t="str">
        <f>IF(D72="","",(LARGE('Tournament Details'!$C:$C,1)+1-D72)+E72)</f>
        <v/>
      </c>
      <c r="G72" s="24" t="str">
        <f>D71</f>
        <v/>
      </c>
      <c r="H72" s="26" t="str">
        <f>IF(D72="","",IF(VLOOKUP(D72,'Tournament Details'!$C:$G,5,FALSE)="",D72,VLOOKUP(D72,'Tournament Details'!$C:$G,5,FALSE)))</f>
        <v/>
      </c>
      <c r="I72" s="12" t="str">
        <f>IF(D72=0,"",IF(VLOOKUP(D72,'Tournament Details'!$C:$E,3,FALSE)&gt;0,VLOOKUP(D72,'Tournament Details'!$C:$E,3,FALSE),""))</f>
        <v/>
      </c>
      <c r="J72" s="128"/>
      <c r="K72" s="128"/>
      <c r="L72" s="23"/>
      <c r="M72" s="24"/>
      <c r="N72" s="24"/>
      <c r="O72" s="24"/>
      <c r="P72" s="191">
        <v>0</v>
      </c>
      <c r="Q72" s="183">
        <f t="shared" si="12"/>
        <v>0</v>
      </c>
      <c r="R72" s="135" t="str">
        <f t="shared" si="13"/>
        <v/>
      </c>
      <c r="S72" s="135" t="str">
        <f>IF(Q72="","",IF(Q71+Q72&lt;&gt;20,IF(Q71+Q72&lt;&gt;0,"!",""),""))</f>
        <v/>
      </c>
      <c r="T72" s="21" t="str">
        <f t="shared" si="14"/>
        <v/>
      </c>
      <c r="U72" s="132">
        <f>IF(D72="",0,VLOOKUP(D72,'Tournament Details'!$C:$X,22,FALSE))</f>
        <v>0</v>
      </c>
      <c r="V72" s="132">
        <f>IF(D72="",0,VLOOKUP(D72,'Tournament Details'!$C:$Y,23,FALSE))</f>
        <v>0</v>
      </c>
      <c r="W72" s="132">
        <f>IF(D72="",0,VLOOKUP(D72,'Tournament Details'!$C:$Z,24,FALSE))</f>
        <v>0</v>
      </c>
      <c r="X72" s="132">
        <f>IF(D72="",0,VLOOKUP(D72,'Tournament Details'!$C:$AA,25,FALSE))</f>
        <v>0</v>
      </c>
      <c r="Y72" s="40" t="str">
        <f>IF(D72="","",IF(COUNTIF(D:D,D72)&gt;1,"DUPLICATE PLAYER",IF(D71="","NO OPPONENT",IF(D71=U72,"REPEAT MATCHUP",IF(D71=V72,"REPEAT MATCHUP",IF(D71=W72,"REPEAT MATCHUP",IF(H72=H71,"SAME TEAM","")))))))</f>
        <v/>
      </c>
      <c r="Z72" s="40"/>
      <c r="AA72" t="str">
        <f>IF(Y72="NO OPPONENT","",IF(Y72&lt;&gt;"",CONCATENATE("Previous Matchup Player #: ",VLOOKUP(D72,'Tournament Details'!$C:$X,22,FALSE)," - ",VLOOKUP(D72,'Tournament Details'!$C:$Y,23,FALSE)," - ",VLOOKUP(D72,'Tournament Details'!$C:$Z,24,FALSE)),""))</f>
        <v/>
      </c>
    </row>
    <row r="73" spans="1:27" ht="15" customHeight="1" thickBot="1" x14ac:dyDescent="0.35">
      <c r="A73" s="224" t="str">
        <f>IF('Tournament Details'!A1&gt;=1,IF(LARGE('Tournament Details'!C7:C86,1)&gt;=72,36,""),"")</f>
        <v/>
      </c>
      <c r="B73" s="42">
        <f t="shared" si="10"/>
        <v>0</v>
      </c>
      <c r="C73" s="44" t="str">
        <f t="shared" si="11"/>
        <v/>
      </c>
      <c r="D73" s="66" t="str">
        <f>IF('Tournament Details'!A1&gt;=1,IF('Tournament Details'!C77&lt;=LARGE('Round 3'!$C:$C,1),VLOOKUP(SMALL('Round 3'!$C:$C,71),'Round 3'!$C:$D,2,FALSE),""),"")</f>
        <v/>
      </c>
      <c r="E73" s="44" t="str">
        <f>IF(D73="","",B73+VLOOKUP(D73,'Round 3'!$D:$E,2,FALSE))</f>
        <v/>
      </c>
      <c r="F73" s="44" t="str">
        <f>IF(D73="","",(LARGE('Tournament Details'!$C:$C,1)+1-D73)+E73)</f>
        <v/>
      </c>
      <c r="G73" s="23" t="str">
        <f>D74</f>
        <v/>
      </c>
      <c r="H73" s="25" t="str">
        <f>IF(D73="","",IF(VLOOKUP(D73,'Tournament Details'!$C:$G,5,FALSE)="",D73,VLOOKUP(D73,'Tournament Details'!$C:$G,5,FALSE)))</f>
        <v/>
      </c>
      <c r="I73" s="7" t="str">
        <f>IF(D73=0,"",IF(VLOOKUP(D73,'Tournament Details'!$C:$E,3,FALSE)&gt;0,VLOOKUP(D73,'Tournament Details'!$C:$E,3,FALSE),""))</f>
        <v/>
      </c>
      <c r="J73" s="127"/>
      <c r="K73" s="127"/>
      <c r="L73" s="23"/>
      <c r="M73" s="23"/>
      <c r="N73" s="23"/>
      <c r="O73" s="23"/>
      <c r="P73" s="190">
        <v>0</v>
      </c>
      <c r="Q73" s="183">
        <f t="shared" si="12"/>
        <v>0</v>
      </c>
      <c r="R73" s="135" t="str">
        <f t="shared" si="13"/>
        <v/>
      </c>
      <c r="S73" s="135" t="str">
        <f>IF(Q73="","",IF(Q73+Q74&lt;&gt;20,IF(Q73+Q74&lt;&gt;0,"!",""),""))</f>
        <v/>
      </c>
      <c r="T73" s="21" t="str">
        <f t="shared" si="14"/>
        <v/>
      </c>
      <c r="U73" s="132">
        <f>IF(D73="",0,VLOOKUP(D73,'Tournament Details'!$C:$X,22,FALSE))</f>
        <v>0</v>
      </c>
      <c r="V73" s="132">
        <f>IF(D73="",0,VLOOKUP(D73,'Tournament Details'!$C:$Y,23,FALSE))</f>
        <v>0</v>
      </c>
      <c r="W73" s="132">
        <f>IF(D73="",0,VLOOKUP(D73,'Tournament Details'!$C:$Z,24,FALSE))</f>
        <v>0</v>
      </c>
      <c r="X73" s="132">
        <f>IF(D73="",0,VLOOKUP(D73,'Tournament Details'!$C:$AA,25,FALSE))</f>
        <v>0</v>
      </c>
      <c r="Y73" s="40" t="str">
        <f>IF(D73="","",IF(COUNTIF(D:D,D73)&gt;1,"DUPLICATE PLAYER",IF(D74="","NO OPPONENT",IF(D74=U73,"REPEAT MATCHUP",IF(D74=V73,"REPEAT MATCHUP",IF(D74=W73,"REPEAT MATCHUP",IF(H73=H74,"SAME TEAM","")))))))</f>
        <v/>
      </c>
      <c r="Z73" s="40"/>
      <c r="AA73" t="str">
        <f>IF(Y73="NO OPPONENT","",IF(Y73&lt;&gt;"",CONCATENATE("Previous Matchup Player #: ",VLOOKUP(D73,'Tournament Details'!$C:$X,22,FALSE)," - ",VLOOKUP(D73,'Tournament Details'!$C:$Y,23,FALSE)," - ",VLOOKUP(D73,'Tournament Details'!$C:$Z,24,FALSE)),""))</f>
        <v/>
      </c>
    </row>
    <row r="74" spans="1:27" ht="15" customHeight="1" thickBot="1" x14ac:dyDescent="0.35">
      <c r="A74" s="224"/>
      <c r="B74" s="43">
        <f t="shared" si="10"/>
        <v>0</v>
      </c>
      <c r="C74" s="44" t="str">
        <f t="shared" si="11"/>
        <v/>
      </c>
      <c r="D74" s="74" t="str">
        <f>IF('Tournament Details'!A1&gt;=1,IF('Tournament Details'!C78&lt;=LARGE('Round 3'!$C:$C,1),VLOOKUP(SMALL('Round 3'!$C:$C,72),'Round 3'!$C:$D,2,FALSE),""),"")</f>
        <v/>
      </c>
      <c r="E74" s="44" t="str">
        <f>IF(D74="","",B74+VLOOKUP(D74,'Round 3'!$D:$E,2,FALSE))</f>
        <v/>
      </c>
      <c r="F74" s="44" t="str">
        <f>IF(D74="","",(LARGE('Tournament Details'!$C:$C,1)+1-D74)+E74)</f>
        <v/>
      </c>
      <c r="G74" s="24" t="str">
        <f>D73</f>
        <v/>
      </c>
      <c r="H74" s="26" t="str">
        <f>IF(D74="","",IF(VLOOKUP(D74,'Tournament Details'!$C:$G,5,FALSE)="",D74,VLOOKUP(D74,'Tournament Details'!$C:$G,5,FALSE)))</f>
        <v/>
      </c>
      <c r="I74" s="12" t="str">
        <f>IF(D74=0,"",IF(VLOOKUP(D74,'Tournament Details'!$C:$E,3,FALSE)&gt;0,VLOOKUP(D74,'Tournament Details'!$C:$E,3,FALSE),""))</f>
        <v/>
      </c>
      <c r="J74" s="128"/>
      <c r="K74" s="128"/>
      <c r="L74" s="23"/>
      <c r="M74" s="24"/>
      <c r="N74" s="24"/>
      <c r="O74" s="24"/>
      <c r="P74" s="191">
        <v>0</v>
      </c>
      <c r="Q74" s="183">
        <f t="shared" si="12"/>
        <v>0</v>
      </c>
      <c r="R74" s="135" t="str">
        <f t="shared" si="13"/>
        <v/>
      </c>
      <c r="S74" s="135" t="str">
        <f>IF(Q74="","",IF(Q73+Q74&lt;&gt;20,IF(Q73+Q74&lt;&gt;0,"!",""),""))</f>
        <v/>
      </c>
      <c r="T74" s="21" t="str">
        <f t="shared" si="14"/>
        <v/>
      </c>
      <c r="U74" s="132">
        <f>IF(D74="",0,VLOOKUP(D74,'Tournament Details'!$C:$X,22,FALSE))</f>
        <v>0</v>
      </c>
      <c r="V74" s="132">
        <f>IF(D74="",0,VLOOKUP(D74,'Tournament Details'!$C:$Y,23,FALSE))</f>
        <v>0</v>
      </c>
      <c r="W74" s="132">
        <f>IF(D74="",0,VLOOKUP(D74,'Tournament Details'!$C:$Z,24,FALSE))</f>
        <v>0</v>
      </c>
      <c r="X74" s="132">
        <f>IF(D74="",0,VLOOKUP(D74,'Tournament Details'!$C:$AA,25,FALSE))</f>
        <v>0</v>
      </c>
      <c r="Y74" s="40" t="str">
        <f>IF(D74="","",IF(COUNTIF(D:D,D74)&gt;1,"DUPLICATE PLAYER",IF(D73="","NO OPPONENT",IF(D73=U74,"REPEAT MATCHUP",IF(D73=V74,"REPEAT MATCHUP",IF(D73=W74,"REPEAT MATCHUP",IF(H74=H73,"SAME TEAM","")))))))</f>
        <v/>
      </c>
      <c r="Z74" s="40"/>
      <c r="AA74" t="str">
        <f>IF(Y74="NO OPPONENT","",IF(Y74&lt;&gt;"",CONCATENATE("Previous Matchup Player #: ",VLOOKUP(D74,'Tournament Details'!$C:$X,22,FALSE)," - ",VLOOKUP(D74,'Tournament Details'!$C:$Y,23,FALSE)," - ",VLOOKUP(D74,'Tournament Details'!$C:$Z,24,FALSE)),""))</f>
        <v/>
      </c>
    </row>
    <row r="75" spans="1:27" ht="15" customHeight="1" thickBot="1" x14ac:dyDescent="0.35">
      <c r="A75" s="224" t="str">
        <f>IF('Tournament Details'!A1&gt;=1,IF(LARGE('Tournament Details'!C7:C86,1)&gt;=74,37,""),"")</f>
        <v/>
      </c>
      <c r="B75" s="42">
        <f t="shared" si="10"/>
        <v>0</v>
      </c>
      <c r="C75" s="44" t="str">
        <f t="shared" si="11"/>
        <v/>
      </c>
      <c r="D75" s="66" t="str">
        <f>IF('Tournament Details'!A1&gt;=1,IF('Tournament Details'!C79&lt;=LARGE('Round 3'!$C:$C,1),VLOOKUP(SMALL('Round 3'!$C:$C,73),'Round 3'!$C:$D,2,FALSE),""),"")</f>
        <v/>
      </c>
      <c r="E75" s="44" t="str">
        <f>IF(D75="","",B75+VLOOKUP(D75,'Round 3'!$D:$E,2,FALSE))</f>
        <v/>
      </c>
      <c r="F75" s="44" t="str">
        <f>IF(D75="","",(LARGE('Tournament Details'!$C:$C,1)+1-D75)+E75)</f>
        <v/>
      </c>
      <c r="G75" s="23" t="str">
        <f>D76</f>
        <v/>
      </c>
      <c r="H75" s="25" t="str">
        <f>IF(D75="","",IF(VLOOKUP(D75,'Tournament Details'!$C:$G,5,FALSE)="",D75,VLOOKUP(D75,'Tournament Details'!$C:$G,5,FALSE)))</f>
        <v/>
      </c>
      <c r="I75" s="7" t="str">
        <f>IF(D75=0,"",IF(VLOOKUP(D75,'Tournament Details'!$C:$E,3,FALSE)&gt;0,VLOOKUP(D75,'Tournament Details'!$C:$E,3,FALSE),""))</f>
        <v/>
      </c>
      <c r="J75" s="127"/>
      <c r="K75" s="127"/>
      <c r="L75" s="23"/>
      <c r="M75" s="23"/>
      <c r="N75" s="23"/>
      <c r="O75" s="23"/>
      <c r="P75" s="190">
        <v>0</v>
      </c>
      <c r="Q75" s="183">
        <f t="shared" si="12"/>
        <v>0</v>
      </c>
      <c r="R75" s="135" t="str">
        <f t="shared" si="13"/>
        <v/>
      </c>
      <c r="S75" s="135" t="str">
        <f>IF(Q75="","",IF(Q75+Q76&lt;&gt;20,IF(Q75+Q76&lt;&gt;0,"!",""),""))</f>
        <v/>
      </c>
      <c r="T75" s="21" t="str">
        <f t="shared" si="14"/>
        <v/>
      </c>
      <c r="U75" s="132">
        <f>IF(D75="",0,VLOOKUP(D75,'Tournament Details'!$C:$X,22,FALSE))</f>
        <v>0</v>
      </c>
      <c r="V75" s="132">
        <f>IF(D75="",0,VLOOKUP(D75,'Tournament Details'!$C:$Y,23,FALSE))</f>
        <v>0</v>
      </c>
      <c r="W75" s="132">
        <f>IF(D75="",0,VLOOKUP(D75,'Tournament Details'!$C:$Z,24,FALSE))</f>
        <v>0</v>
      </c>
      <c r="X75" s="132">
        <f>IF(D75="",0,VLOOKUP(D75,'Tournament Details'!$C:$AA,25,FALSE))</f>
        <v>0</v>
      </c>
      <c r="Y75" s="40" t="str">
        <f>IF(D75="","",IF(COUNTIF(D:D,D75)&gt;1,"DUPLICATE PLAYER",IF(D76="","NO OPPONENT",IF(D76=U75,"REPEAT MATCHUP",IF(D76=V75,"REPEAT MATCHUP",IF(D76=W75,"REPEAT MATCHUP",IF(H75=H76,"SAME TEAM","")))))))</f>
        <v/>
      </c>
      <c r="Z75" s="40"/>
      <c r="AA75" t="str">
        <f>IF(Y75="NO OPPONENT","",IF(Y75&lt;&gt;"",CONCATENATE("Previous Matchup Player #: ",VLOOKUP(D75,'Tournament Details'!$C:$X,22,FALSE)," - ",VLOOKUP(D75,'Tournament Details'!$C:$Y,23,FALSE)," - ",VLOOKUP(D75,'Tournament Details'!$C:$Z,24,FALSE)),""))</f>
        <v/>
      </c>
    </row>
    <row r="76" spans="1:27" ht="15" customHeight="1" thickBot="1" x14ac:dyDescent="0.35">
      <c r="A76" s="224"/>
      <c r="B76" s="43">
        <f t="shared" si="10"/>
        <v>0</v>
      </c>
      <c r="C76" s="44" t="str">
        <f t="shared" si="11"/>
        <v/>
      </c>
      <c r="D76" s="74" t="str">
        <f>IF('Tournament Details'!A1&gt;=1,IF('Tournament Details'!C80&lt;=LARGE('Round 3'!$C:$C,1),VLOOKUP(SMALL('Round 3'!$C:$C,74),'Round 3'!$C:$D,2,FALSE),""),"")</f>
        <v/>
      </c>
      <c r="E76" s="44" t="str">
        <f>IF(D76="","",B76+VLOOKUP(D76,'Round 3'!$D:$E,2,FALSE))</f>
        <v/>
      </c>
      <c r="F76" s="44" t="str">
        <f>IF(D76="","",(LARGE('Tournament Details'!$C:$C,1)+1-D76)+E76)</f>
        <v/>
      </c>
      <c r="G76" s="24" t="str">
        <f>D75</f>
        <v/>
      </c>
      <c r="H76" s="26" t="str">
        <f>IF(D76="","",IF(VLOOKUP(D76,'Tournament Details'!$C:$G,5,FALSE)="",D76,VLOOKUP(D76,'Tournament Details'!$C:$G,5,FALSE)))</f>
        <v/>
      </c>
      <c r="I76" s="12" t="str">
        <f>IF(D76=0,"",IF(VLOOKUP(D76,'Tournament Details'!$C:$E,3,FALSE)&gt;0,VLOOKUP(D76,'Tournament Details'!$C:$E,3,FALSE),""))</f>
        <v/>
      </c>
      <c r="J76" s="128"/>
      <c r="K76" s="128"/>
      <c r="L76" s="23"/>
      <c r="M76" s="24"/>
      <c r="N76" s="24"/>
      <c r="O76" s="24"/>
      <c r="P76" s="191">
        <v>0</v>
      </c>
      <c r="Q76" s="183">
        <f t="shared" si="12"/>
        <v>0</v>
      </c>
      <c r="R76" s="135" t="str">
        <f t="shared" si="13"/>
        <v/>
      </c>
      <c r="S76" s="135" t="str">
        <f>IF(Q76="","",IF(Q75+Q76&lt;&gt;20,IF(Q75+Q76&lt;&gt;0,"!",""),""))</f>
        <v/>
      </c>
      <c r="T76" s="21" t="str">
        <f t="shared" si="14"/>
        <v/>
      </c>
      <c r="U76" s="132">
        <f>IF(D76="",0,VLOOKUP(D76,'Tournament Details'!$C:$X,22,FALSE))</f>
        <v>0</v>
      </c>
      <c r="V76" s="132">
        <f>IF(D76="",0,VLOOKUP(D76,'Tournament Details'!$C:$Y,23,FALSE))</f>
        <v>0</v>
      </c>
      <c r="W76" s="132">
        <f>IF(D76="",0,VLOOKUP(D76,'Tournament Details'!$C:$Z,24,FALSE))</f>
        <v>0</v>
      </c>
      <c r="X76" s="132">
        <f>IF(D76="",0,VLOOKUP(D76,'Tournament Details'!$C:$AA,25,FALSE))</f>
        <v>0</v>
      </c>
      <c r="Y76" s="40" t="str">
        <f>IF(D76="","",IF(COUNTIF(D:D,D76)&gt;1,"DUPLICATE PLAYER",IF(D75="","NO OPPONENT",IF(D75=U76,"REPEAT MATCHUP",IF(D75=V76,"REPEAT MATCHUP",IF(D75=W76,"REPEAT MATCHUP",IF(H76=H75,"SAME TEAM","")))))))</f>
        <v/>
      </c>
      <c r="Z76" s="40"/>
      <c r="AA76" t="str">
        <f>IF(Y76="NO OPPONENT","",IF(Y76&lt;&gt;"",CONCATENATE("Previous Matchup Player #: ",VLOOKUP(D76,'Tournament Details'!$C:$X,22,FALSE)," - ",VLOOKUP(D76,'Tournament Details'!$C:$Y,23,FALSE)," - ",VLOOKUP(D76,'Tournament Details'!$C:$Z,24,FALSE)),""))</f>
        <v/>
      </c>
    </row>
    <row r="77" spans="1:27" ht="15" customHeight="1" thickBot="1" x14ac:dyDescent="0.35">
      <c r="A77" s="224" t="str">
        <f>IF('Tournament Details'!A1&gt;=1,IF(LARGE('Tournament Details'!C7:C86,1)&gt;=76,38,""),"")</f>
        <v/>
      </c>
      <c r="B77" s="42">
        <f t="shared" si="10"/>
        <v>0</v>
      </c>
      <c r="C77" s="44" t="str">
        <f t="shared" si="11"/>
        <v/>
      </c>
      <c r="D77" s="66" t="str">
        <f>IF('Tournament Details'!A1&gt;=1,IF('Tournament Details'!C81&lt;=LARGE('Round 3'!$C:$C,1),VLOOKUP(SMALL('Round 3'!$C:$C,75),'Round 3'!$C:$D,2,FALSE),""),"")</f>
        <v/>
      </c>
      <c r="E77" s="44" t="str">
        <f>IF(D77="","",B77+VLOOKUP(D77,'Round 3'!$D:$E,2,FALSE))</f>
        <v/>
      </c>
      <c r="F77" s="44" t="str">
        <f>IF(D77="","",(LARGE('Tournament Details'!$C:$C,1)+1-D77)+E77)</f>
        <v/>
      </c>
      <c r="G77" s="23" t="str">
        <f>D78</f>
        <v/>
      </c>
      <c r="H77" s="25" t="str">
        <f>IF(D77="","",IF(VLOOKUP(D77,'Tournament Details'!$C:$G,5,FALSE)="",D77,VLOOKUP(D77,'Tournament Details'!$C:$G,5,FALSE)))</f>
        <v/>
      </c>
      <c r="I77" s="7" t="str">
        <f>IF(D77=0,"",IF(VLOOKUP(D77,'Tournament Details'!$C:$E,3,FALSE)&gt;0,VLOOKUP(D77,'Tournament Details'!$C:$E,3,FALSE),""))</f>
        <v/>
      </c>
      <c r="J77" s="127"/>
      <c r="K77" s="127"/>
      <c r="L77" s="23"/>
      <c r="M77" s="23"/>
      <c r="N77" s="23"/>
      <c r="O77" s="23"/>
      <c r="P77" s="190">
        <v>0</v>
      </c>
      <c r="Q77" s="183">
        <f t="shared" si="12"/>
        <v>0</v>
      </c>
      <c r="R77" s="135" t="str">
        <f t="shared" si="13"/>
        <v/>
      </c>
      <c r="S77" s="135" t="str">
        <f>IF(Q77="","",IF(Q77+Q78&lt;&gt;20,IF(Q77+Q78&lt;&gt;0,"!",""),""))</f>
        <v/>
      </c>
      <c r="T77" s="21" t="str">
        <f t="shared" si="14"/>
        <v/>
      </c>
      <c r="U77" s="132">
        <f>IF(D77="",0,VLOOKUP(D77,'Tournament Details'!$C:$X,22,FALSE))</f>
        <v>0</v>
      </c>
      <c r="V77" s="132">
        <f>IF(D77="",0,VLOOKUP(D77,'Tournament Details'!$C:$Y,23,FALSE))</f>
        <v>0</v>
      </c>
      <c r="W77" s="132">
        <f>IF(D77="",0,VLOOKUP(D77,'Tournament Details'!$C:$Z,24,FALSE))</f>
        <v>0</v>
      </c>
      <c r="X77" s="132">
        <f>IF(D77="",0,VLOOKUP(D77,'Tournament Details'!$C:$AA,25,FALSE))</f>
        <v>0</v>
      </c>
      <c r="Y77" s="40" t="str">
        <f>IF(D77="","",IF(COUNTIF(D:D,D77)&gt;1,"DUPLICATE PLAYER",IF(D78="","NO OPPONENT",IF(D78=U77,"REPEAT MATCHUP",IF(D78=V77,"REPEAT MATCHUP",IF(D78=W77,"REPEAT MATCHUP",IF(H77=H78,"SAME TEAM","")))))))</f>
        <v/>
      </c>
      <c r="Z77" s="40"/>
      <c r="AA77" t="str">
        <f>IF(Y77="NO OPPONENT","",IF(Y77&lt;&gt;"",CONCATENATE("Previous Matchup Player #: ",VLOOKUP(D77,'Tournament Details'!$C:$X,22,FALSE)," - ",VLOOKUP(D77,'Tournament Details'!$C:$Y,23,FALSE)," - ",VLOOKUP(D77,'Tournament Details'!$C:$Z,24,FALSE)),""))</f>
        <v/>
      </c>
    </row>
    <row r="78" spans="1:27" ht="15" customHeight="1" thickBot="1" x14ac:dyDescent="0.35">
      <c r="A78" s="224"/>
      <c r="B78" s="43">
        <f t="shared" si="10"/>
        <v>0</v>
      </c>
      <c r="C78" s="44" t="str">
        <f t="shared" si="11"/>
        <v/>
      </c>
      <c r="D78" s="74" t="str">
        <f>IF('Tournament Details'!A1&gt;=1,IF('Tournament Details'!C82&lt;=LARGE('Round 3'!$C:$C,1),VLOOKUP(SMALL('Round 3'!$C:$C,76),'Round 3'!$C:$D,2,FALSE),""),"")</f>
        <v/>
      </c>
      <c r="E78" s="44" t="str">
        <f>IF(D78="","",B78+VLOOKUP(D78,'Round 3'!$D:$E,2,FALSE))</f>
        <v/>
      </c>
      <c r="F78" s="44" t="str">
        <f>IF(D78="","",(LARGE('Tournament Details'!$C:$C,1)+1-D78)+E78)</f>
        <v/>
      </c>
      <c r="G78" s="24" t="str">
        <f>D77</f>
        <v/>
      </c>
      <c r="H78" s="26" t="str">
        <f>IF(D78="","",IF(VLOOKUP(D78,'Tournament Details'!$C:$G,5,FALSE)="",D78,VLOOKUP(D78,'Tournament Details'!$C:$G,5,FALSE)))</f>
        <v/>
      </c>
      <c r="I78" s="12" t="str">
        <f>IF(D78=0,"",IF(VLOOKUP(D78,'Tournament Details'!$C:$E,3,FALSE)&gt;0,VLOOKUP(D78,'Tournament Details'!$C:$E,3,FALSE),""))</f>
        <v/>
      </c>
      <c r="J78" s="128"/>
      <c r="K78" s="128"/>
      <c r="L78" s="23"/>
      <c r="M78" s="24"/>
      <c r="N78" s="24"/>
      <c r="O78" s="24"/>
      <c r="P78" s="191">
        <v>0</v>
      </c>
      <c r="Q78" s="183">
        <f t="shared" si="12"/>
        <v>0</v>
      </c>
      <c r="R78" s="135" t="str">
        <f t="shared" si="13"/>
        <v/>
      </c>
      <c r="S78" s="135" t="str">
        <f>IF(Q78="","",IF(Q77+Q78&lt;&gt;20,IF(Q77+Q78&lt;&gt;0,"!",""),""))</f>
        <v/>
      </c>
      <c r="T78" s="21" t="str">
        <f t="shared" si="14"/>
        <v/>
      </c>
      <c r="U78" s="132">
        <f>IF(D78="",0,VLOOKUP(D78,'Tournament Details'!$C:$X,22,FALSE))</f>
        <v>0</v>
      </c>
      <c r="V78" s="132">
        <f>IF(D78="",0,VLOOKUP(D78,'Tournament Details'!$C:$Y,23,FALSE))</f>
        <v>0</v>
      </c>
      <c r="W78" s="132">
        <f>IF(D78="",0,VLOOKUP(D78,'Tournament Details'!$C:$Z,24,FALSE))</f>
        <v>0</v>
      </c>
      <c r="X78" s="132">
        <f>IF(D78="",0,VLOOKUP(D78,'Tournament Details'!$C:$AA,25,FALSE))</f>
        <v>0</v>
      </c>
      <c r="Y78" s="40" t="str">
        <f>IF(D78="","",IF(COUNTIF(D:D,D78)&gt;1,"DUPLICATE PLAYER",IF(D77="","NO OPPONENT",IF(D77=U78,"REPEAT MATCHUP",IF(D77=V78,"REPEAT MATCHUP",IF(D77=W78,"REPEAT MATCHUP",IF(H78=H77,"SAME TEAM","")))))))</f>
        <v/>
      </c>
      <c r="Z78" s="40"/>
      <c r="AA78" t="str">
        <f>IF(Y78="NO OPPONENT","",IF(Y78&lt;&gt;"",CONCATENATE("Previous Matchup Player #: ",VLOOKUP(D78,'Tournament Details'!$C:$X,22,FALSE)," - ",VLOOKUP(D78,'Tournament Details'!$C:$Y,23,FALSE)," - ",VLOOKUP(D78,'Tournament Details'!$C:$Z,24,FALSE)),""))</f>
        <v/>
      </c>
    </row>
    <row r="79" spans="1:27" ht="15" customHeight="1" thickBot="1" x14ac:dyDescent="0.35">
      <c r="A79" s="224" t="str">
        <f>IF('Tournament Details'!A1&gt;=1,IF(LARGE('Tournament Details'!C7:C86,1)&gt;=78,39,""),"")</f>
        <v/>
      </c>
      <c r="B79" s="42">
        <f t="shared" si="10"/>
        <v>0</v>
      </c>
      <c r="C79" s="44" t="str">
        <f t="shared" si="11"/>
        <v/>
      </c>
      <c r="D79" s="66" t="str">
        <f>IF('Tournament Details'!A1&gt;=1,IF('Tournament Details'!C83&lt;=LARGE('Round 3'!$C:$C,1),VLOOKUP(SMALL('Round 3'!$C:$C,77),'Round 3'!$C:$D,2,FALSE),""),"")</f>
        <v/>
      </c>
      <c r="E79" s="44" t="str">
        <f>IF(D79="","",B79+VLOOKUP(D79,'Round 3'!$D:$E,2,FALSE))</f>
        <v/>
      </c>
      <c r="F79" s="44" t="str">
        <f>IF(D79="","",(LARGE('Tournament Details'!$C:$C,1)+1-D79)+E79)</f>
        <v/>
      </c>
      <c r="G79" s="23" t="str">
        <f>D80</f>
        <v/>
      </c>
      <c r="H79" s="25" t="str">
        <f>IF(D79="","",IF(VLOOKUP(D79,'Tournament Details'!$C:$G,5,FALSE)="",D79,VLOOKUP(D79,'Tournament Details'!$C:$G,5,FALSE)))</f>
        <v/>
      </c>
      <c r="I79" s="7" t="str">
        <f>IF(D79=0,"",IF(VLOOKUP(D79,'Tournament Details'!$C:$E,3,FALSE)&gt;0,VLOOKUP(D79,'Tournament Details'!$C:$E,3,FALSE),""))</f>
        <v/>
      </c>
      <c r="J79" s="127"/>
      <c r="K79" s="127"/>
      <c r="L79" s="23"/>
      <c r="M79" s="23"/>
      <c r="N79" s="23"/>
      <c r="O79" s="23"/>
      <c r="P79" s="190">
        <v>0</v>
      </c>
      <c r="Q79" s="183">
        <f t="shared" si="12"/>
        <v>0</v>
      </c>
      <c r="R79" s="135" t="str">
        <f t="shared" si="13"/>
        <v/>
      </c>
      <c r="S79" s="135" t="str">
        <f>IF(Q79="","",IF(Q79+Q80&lt;&gt;20,IF(Q79+Q80&lt;&gt;0,"!",""),""))</f>
        <v/>
      </c>
      <c r="T79" s="21" t="str">
        <f t="shared" si="14"/>
        <v/>
      </c>
      <c r="U79" s="132">
        <f>IF(D79="",0,VLOOKUP(D79,'Tournament Details'!$C:$X,22,FALSE))</f>
        <v>0</v>
      </c>
      <c r="V79" s="132">
        <f>IF(D79="",0,VLOOKUP(D79,'Tournament Details'!$C:$Y,23,FALSE))</f>
        <v>0</v>
      </c>
      <c r="W79" s="132">
        <f>IF(D79="",0,VLOOKUP(D79,'Tournament Details'!$C:$Z,24,FALSE))</f>
        <v>0</v>
      </c>
      <c r="X79" s="132">
        <f>IF(D79="",0,VLOOKUP(D79,'Tournament Details'!$C:$AA,25,FALSE))</f>
        <v>0</v>
      </c>
      <c r="Y79" s="40" t="str">
        <f>IF(D79="","",IF(COUNTIF(D:D,D79)&gt;1,"DUPLICATE PLAYER",IF(D80="","NO OPPONENT",IF(D80=U79,"REPEAT MATCHUP",IF(D80=V79,"REPEAT MATCHUP",IF(D80=W79,"REPEAT MATCHUP",IF(H79=H80,"SAME TEAM","")))))))</f>
        <v/>
      </c>
      <c r="Z79" s="40"/>
      <c r="AA79" t="str">
        <f>IF(Y79="NO OPPONENT","",IF(Y79&lt;&gt;"",CONCATENATE("Previous Matchup Player #: ",VLOOKUP(D79,'Tournament Details'!$C:$X,22,FALSE)," - ",VLOOKUP(D79,'Tournament Details'!$C:$Y,23,FALSE)," - ",VLOOKUP(D79,'Tournament Details'!$C:$Z,24,FALSE)),""))</f>
        <v/>
      </c>
    </row>
    <row r="80" spans="1:27" ht="15" customHeight="1" thickBot="1" x14ac:dyDescent="0.35">
      <c r="A80" s="224"/>
      <c r="B80" s="43">
        <f t="shared" si="10"/>
        <v>0</v>
      </c>
      <c r="C80" s="44" t="str">
        <f t="shared" si="11"/>
        <v/>
      </c>
      <c r="D80" s="74" t="str">
        <f>IF('Tournament Details'!A1&gt;=1,IF('Tournament Details'!C84&lt;=LARGE('Round 3'!$C:$C,1),VLOOKUP(SMALL('Round 3'!$C:$C,78),'Round 3'!$C:$D,2,FALSE),""),"")</f>
        <v/>
      </c>
      <c r="E80" s="44" t="str">
        <f>IF(D80="","",B80+VLOOKUP(D80,'Round 3'!$D:$E,2,FALSE))</f>
        <v/>
      </c>
      <c r="F80" s="44" t="str">
        <f>IF(D80="","",(LARGE('Tournament Details'!$C:$C,1)+1-D80)+E80)</f>
        <v/>
      </c>
      <c r="G80" s="24" t="str">
        <f>D79</f>
        <v/>
      </c>
      <c r="H80" s="26" t="str">
        <f>IF(D80="","",IF(VLOOKUP(D80,'Tournament Details'!$C:$G,5,FALSE)="",D80,VLOOKUP(D80,'Tournament Details'!$C:$G,5,FALSE)))</f>
        <v/>
      </c>
      <c r="I80" s="12" t="str">
        <f>IF(D80=0,"",IF(VLOOKUP(D80,'Tournament Details'!$C:$E,3,FALSE)&gt;0,VLOOKUP(D80,'Tournament Details'!$C:$E,3,FALSE),""))</f>
        <v/>
      </c>
      <c r="J80" s="128"/>
      <c r="K80" s="128"/>
      <c r="L80" s="23"/>
      <c r="M80" s="24"/>
      <c r="N80" s="24"/>
      <c r="O80" s="24"/>
      <c r="P80" s="191">
        <v>0</v>
      </c>
      <c r="Q80" s="183">
        <f t="shared" si="12"/>
        <v>0</v>
      </c>
      <c r="R80" s="135" t="str">
        <f t="shared" si="13"/>
        <v/>
      </c>
      <c r="S80" s="135" t="str">
        <f>IF(Q80="","",IF(Q79+Q80&lt;&gt;20,IF(Q79+Q80&lt;&gt;0,"!",""),""))</f>
        <v/>
      </c>
      <c r="T80" s="21" t="str">
        <f t="shared" si="14"/>
        <v/>
      </c>
      <c r="U80" s="132">
        <f>IF(D80="",0,VLOOKUP(D80,'Tournament Details'!$C:$X,22,FALSE))</f>
        <v>0</v>
      </c>
      <c r="V80" s="132">
        <f>IF(D80="",0,VLOOKUP(D80,'Tournament Details'!$C:$Y,23,FALSE))</f>
        <v>0</v>
      </c>
      <c r="W80" s="132">
        <f>IF(D80="",0,VLOOKUP(D80,'Tournament Details'!$C:$Z,24,FALSE))</f>
        <v>0</v>
      </c>
      <c r="X80" s="132">
        <f>IF(D80="",0,VLOOKUP(D80,'Tournament Details'!$C:$AA,25,FALSE))</f>
        <v>0</v>
      </c>
      <c r="Y80" s="40" t="str">
        <f>IF(D80="","",IF(COUNTIF(D:D,D80)&gt;1,"DUPLICATE PLAYER",IF(D79="","NO OPPONENT",IF(D79=U80,"REPEAT MATCHUP",IF(D79=V80,"REPEAT MATCHUP",IF(D79=W80,"REPEAT MATCHUP",IF(H80=H79,"SAME TEAM","")))))))</f>
        <v/>
      </c>
      <c r="Z80" s="40"/>
      <c r="AA80" t="str">
        <f>IF(Y80="NO OPPONENT","",IF(Y80&lt;&gt;"",CONCATENATE("Previous Matchup Player #: ",VLOOKUP(D80,'Tournament Details'!$C:$X,22,FALSE)," - ",VLOOKUP(D80,'Tournament Details'!$C:$Y,23,FALSE)," - ",VLOOKUP(D80,'Tournament Details'!$C:$Z,24,FALSE)),""))</f>
        <v/>
      </c>
    </row>
    <row r="81" spans="1:27" ht="15" customHeight="1" thickBot="1" x14ac:dyDescent="0.35">
      <c r="A81" s="224" t="str">
        <f>IF('Tournament Details'!A1&gt;=1,IF(LARGE('Tournament Details'!C7:C86,1)&gt;=80,40,""),"")</f>
        <v/>
      </c>
      <c r="B81" s="42">
        <f t="shared" si="10"/>
        <v>0</v>
      </c>
      <c r="C81" s="44" t="str">
        <f t="shared" si="11"/>
        <v/>
      </c>
      <c r="D81" s="66" t="str">
        <f>IF('Tournament Details'!A1&gt;=1,IF('Tournament Details'!C85&lt;=LARGE('Round 3'!$C:$C,1),VLOOKUP(SMALL('Round 3'!$C:$C,79),'Round 3'!$C:$D,2,FALSE),""),"")</f>
        <v/>
      </c>
      <c r="E81" s="44" t="str">
        <f>IF(D81="","",B81+VLOOKUP(D81,'Round 3'!$D:$E,2,FALSE))</f>
        <v/>
      </c>
      <c r="F81" s="44" t="str">
        <f>IF(D81="","",(LARGE('Tournament Details'!$C:$C,1)+1-D81)+E81)</f>
        <v/>
      </c>
      <c r="G81" s="23" t="str">
        <f>D82</f>
        <v/>
      </c>
      <c r="H81" s="25" t="str">
        <f>IF(D81="","",IF(VLOOKUP(D81,'Tournament Details'!$C:$G,5,FALSE)="",D81,VLOOKUP(D81,'Tournament Details'!$C:$G,5,FALSE)))</f>
        <v/>
      </c>
      <c r="I81" s="7" t="str">
        <f>IF(D81=0,"",IF(VLOOKUP(D81,'Tournament Details'!$C:$E,3,FALSE)&gt;0,VLOOKUP(D81,'Tournament Details'!$C:$E,3,FALSE),""))</f>
        <v/>
      </c>
      <c r="J81" s="127"/>
      <c r="K81" s="127"/>
      <c r="L81" s="23"/>
      <c r="M81" s="23"/>
      <c r="N81" s="23"/>
      <c r="O81" s="23"/>
      <c r="P81" s="190">
        <v>0</v>
      </c>
      <c r="Q81" s="183">
        <f t="shared" si="12"/>
        <v>0</v>
      </c>
      <c r="R81" s="135" t="str">
        <f t="shared" si="13"/>
        <v/>
      </c>
      <c r="S81" s="135" t="str">
        <f>IF(Q81="","",IF(Q81+Q82&lt;&gt;20,IF(Q81+Q82&lt;&gt;0,"!",""),""))</f>
        <v/>
      </c>
      <c r="T81" s="21" t="str">
        <f t="shared" si="14"/>
        <v/>
      </c>
      <c r="U81" s="132">
        <f>IF(D81="",0,VLOOKUP(D81,'Tournament Details'!$C:$X,22,FALSE))</f>
        <v>0</v>
      </c>
      <c r="V81" s="132">
        <f>IF(D81="",0,VLOOKUP(D81,'Tournament Details'!$C:$Y,23,FALSE))</f>
        <v>0</v>
      </c>
      <c r="W81" s="132">
        <f>IF(D81="",0,VLOOKUP(D81,'Tournament Details'!$C:$Z,24,FALSE))</f>
        <v>0</v>
      </c>
      <c r="X81" s="132">
        <f>IF(D81="",0,VLOOKUP(D81,'Tournament Details'!$C:$AA,25,FALSE))</f>
        <v>0</v>
      </c>
      <c r="Y81" s="40" t="str">
        <f>IF(D81="","",IF(COUNTIF(D:D,D81)&gt;1,"DUPLICATE PLAYER",IF(D82="","NO OPPONENT",IF(D82=U81,"REPEAT MATCHUP",IF(D82=V81,"REPEAT MATCHUP",IF(D82=W81,"REPEAT MATCHUP",IF(H81=H82,"SAME TEAM","")))))))</f>
        <v/>
      </c>
      <c r="Z81" s="40"/>
      <c r="AA81" t="str">
        <f>IF(Y81="NO OPPONENT","",IF(Y81&lt;&gt;"",CONCATENATE("Previous Matchup Player #: ",VLOOKUP(D81,'Tournament Details'!$C:$X,22,FALSE)," - ",VLOOKUP(D81,'Tournament Details'!$C:$Y,23,FALSE)," - ",VLOOKUP(D81,'Tournament Details'!$C:$Z,24,FALSE)),""))</f>
        <v/>
      </c>
    </row>
    <row r="82" spans="1:27" ht="15" customHeight="1" thickBot="1" x14ac:dyDescent="0.35">
      <c r="A82" s="224"/>
      <c r="B82" s="43">
        <f t="shared" si="10"/>
        <v>0</v>
      </c>
      <c r="C82" s="44" t="str">
        <f t="shared" si="11"/>
        <v/>
      </c>
      <c r="D82" s="74" t="str">
        <f>IF('Tournament Details'!A1&gt;=1,IF('Tournament Details'!C86&lt;=LARGE('Round 3'!$C:$C,1),VLOOKUP(SMALL('Round 3'!$C:$C,80),'Round 3'!$C:$D,2,FALSE),""),"")</f>
        <v/>
      </c>
      <c r="E82" s="44" t="str">
        <f>IF(D82="","",B82+VLOOKUP(D82,'Round 3'!$D:$E,2,FALSE))</f>
        <v/>
      </c>
      <c r="F82" s="44" t="str">
        <f>IF(D82="","",(LARGE('Tournament Details'!$C:$C,1)+1-D82)+E82)</f>
        <v/>
      </c>
      <c r="G82" s="24" t="str">
        <f>D81</f>
        <v/>
      </c>
      <c r="H82" s="26" t="str">
        <f>IF(D82="","",IF(VLOOKUP(D82,'Tournament Details'!$C:$G,5,FALSE)="",D82,VLOOKUP(D82,'Tournament Details'!$C:$G,5,FALSE)))</f>
        <v/>
      </c>
      <c r="I82" s="12" t="str">
        <f>IF(D82=0,"",IF(VLOOKUP(D82,'Tournament Details'!$C:$E,3,FALSE)&gt;0,VLOOKUP(D82,'Tournament Details'!$C:$E,3,FALSE),""))</f>
        <v/>
      </c>
      <c r="J82" s="128"/>
      <c r="K82" s="128"/>
      <c r="L82" s="23"/>
      <c r="M82" s="24"/>
      <c r="N82" s="24"/>
      <c r="O82" s="24"/>
      <c r="P82" s="191">
        <v>0</v>
      </c>
      <c r="Q82" s="183">
        <f t="shared" si="12"/>
        <v>0</v>
      </c>
      <c r="R82" s="135" t="str">
        <f t="shared" si="13"/>
        <v/>
      </c>
      <c r="S82" s="135" t="str">
        <f>IF(Q82="","",IF(Q81+Q82&lt;&gt;20,IF(Q81+Q82&lt;&gt;0,"!",""),""))</f>
        <v/>
      </c>
      <c r="T82" s="21" t="str">
        <f t="shared" si="14"/>
        <v/>
      </c>
      <c r="U82" s="132">
        <f>IF(D82="",0,VLOOKUP(D82,'Tournament Details'!$C:$X,22,FALSE))</f>
        <v>0</v>
      </c>
      <c r="V82" s="132">
        <f>IF(D82="",0,VLOOKUP(D82,'Tournament Details'!$C:$Y,23,FALSE))</f>
        <v>0</v>
      </c>
      <c r="W82" s="132">
        <f>IF(D82="",0,VLOOKUP(D82,'Tournament Details'!$C:$Z,24,FALSE))</f>
        <v>0</v>
      </c>
      <c r="X82" s="132">
        <f>IF(D82="",0,VLOOKUP(D82,'Tournament Details'!$C:$AA,25,FALSE))</f>
        <v>0</v>
      </c>
      <c r="Y82" s="40" t="str">
        <f>IF(D82="","",IF(COUNTIF(D:D,D82)&gt;1,"DUPLICATE PLAYER",IF(D81="","NO OPPONENT",IF(D81=U82,"REPEAT MATCHUP",IF(D81=V82,"REPEAT MATCHUP",IF(D81=W82,"REPEAT MATCHUP",IF(H82=H81,"SAME TEAM","")))))))</f>
        <v/>
      </c>
      <c r="Z82" s="40"/>
      <c r="AA82" t="str">
        <f>IF(Y82="NO OPPONENT","",IF(Y82&lt;&gt;"",CONCATENATE("Previous Matchup Player #: ",VLOOKUP(D82,'Tournament Details'!$C:$X,22,FALSE)," - ",VLOOKUP(D82,'Tournament Details'!$C:$Y,23,FALSE)," - ",VLOOKUP(D82,'Tournament Details'!$C:$Z,24,FALSE)),""))</f>
        <v/>
      </c>
    </row>
  </sheetData>
  <sheetProtection algorithmName="SHA-512" hashValue="X1tx5uHGi7vVIjZ0tjGzMqtGEuV6s5NJ56CclkKG6twGgPm8t5d5TsggHVIxSlt1gDWWZs+krdez3gqm7tN9iQ==" saltValue="C3DofVBmqIGDbC8PVhAf0A==" spinCount="100000" sheet="1" selectLockedCells="1"/>
  <mergeCells count="42">
    <mergeCell ref="Y1:AA2"/>
    <mergeCell ref="A73:A74"/>
    <mergeCell ref="A75:A76"/>
    <mergeCell ref="A77:A78"/>
    <mergeCell ref="A79:A80"/>
    <mergeCell ref="A47:A48"/>
    <mergeCell ref="A25:A26"/>
    <mergeCell ref="A27:A28"/>
    <mergeCell ref="A29:A30"/>
    <mergeCell ref="A31:A32"/>
    <mergeCell ref="A33:A34"/>
    <mergeCell ref="A35:A36"/>
    <mergeCell ref="A37:A38"/>
    <mergeCell ref="A39:A40"/>
    <mergeCell ref="A41:A42"/>
    <mergeCell ref="A43:A44"/>
    <mergeCell ref="A81:A82"/>
    <mergeCell ref="A71:A72"/>
    <mergeCell ref="A49:A50"/>
    <mergeCell ref="A51:A52"/>
    <mergeCell ref="A53:A54"/>
    <mergeCell ref="A55:A56"/>
    <mergeCell ref="A57:A58"/>
    <mergeCell ref="A59:A60"/>
    <mergeCell ref="A61:A62"/>
    <mergeCell ref="A63:A64"/>
    <mergeCell ref="A65:A66"/>
    <mergeCell ref="A67:A68"/>
    <mergeCell ref="A69:A70"/>
    <mergeCell ref="A45:A46"/>
    <mergeCell ref="A23:A24"/>
    <mergeCell ref="A1:Q1"/>
    <mergeCell ref="A3:A4"/>
    <mergeCell ref="A5:A6"/>
    <mergeCell ref="A7:A8"/>
    <mergeCell ref="A9:A10"/>
    <mergeCell ref="A11:A12"/>
    <mergeCell ref="A13:A14"/>
    <mergeCell ref="A15:A16"/>
    <mergeCell ref="A17:A18"/>
    <mergeCell ref="A19:A20"/>
    <mergeCell ref="A21:A22"/>
  </mergeCells>
  <conditionalFormatting sqref="D3:D82">
    <cfRule type="cellIs" dxfId="21" priority="8" operator="equal">
      <formula>0</formula>
    </cfRule>
  </conditionalFormatting>
  <conditionalFormatting sqref="Z3:Z82">
    <cfRule type="notContainsBlanks" dxfId="20" priority="6">
      <formula>LEN(TRIM(Z3))&gt;0</formula>
    </cfRule>
  </conditionalFormatting>
  <conditionalFormatting sqref="G3:G82">
    <cfRule type="cellIs" dxfId="19" priority="5" operator="equal">
      <formula>0</formula>
    </cfRule>
  </conditionalFormatting>
  <conditionalFormatting sqref="H3:H82">
    <cfRule type="cellIs" dxfId="18" priority="3" operator="between">
      <formula>1</formula>
      <formula>10000</formula>
    </cfRule>
    <cfRule type="cellIs" dxfId="17" priority="4" operator="equal">
      <formula>0</formula>
    </cfRule>
  </conditionalFormatting>
  <conditionalFormatting sqref="A3:A82">
    <cfRule type="notContainsBlanks" dxfId="16" priority="2">
      <formula>LEN(TRIM(A3))&gt;0</formula>
    </cfRule>
  </conditionalFormatting>
  <conditionalFormatting sqref="Y3:Y82">
    <cfRule type="notContainsBlanks" dxfId="15" priority="1">
      <formula>LEN(TRIM(Y3))&gt;0</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889DB"/>
  </sheetPr>
  <dimension ref="A1:AA82"/>
  <sheetViews>
    <sheetView showGridLines="0" showRowColHeaders="0" zoomScaleNormal="100" workbookViewId="0">
      <pane ySplit="2" topLeftCell="A3" activePane="bottomLeft" state="frozen"/>
      <selection activeCell="I16" sqref="I16"/>
      <selection pane="bottomLeft" activeCell="K3" sqref="K3"/>
    </sheetView>
  </sheetViews>
  <sheetFormatPr defaultRowHeight="14.4" x14ac:dyDescent="0.3"/>
  <cols>
    <col min="1" max="1" width="12.44140625" bestFit="1" customWidth="1"/>
    <col min="2" max="3" width="12.44140625" hidden="1" customWidth="1"/>
    <col min="5" max="6" width="12.44140625" hidden="1" customWidth="1"/>
    <col min="7" max="7" width="11" hidden="1" customWidth="1"/>
    <col min="8" max="8" width="23.109375" customWidth="1"/>
    <col min="9" max="9" width="52.33203125" customWidth="1"/>
    <col min="10" max="10" width="8.88671875" hidden="1" customWidth="1"/>
    <col min="12" max="15" width="8.88671875" hidden="1" customWidth="1"/>
    <col min="16" max="16" width="8.88671875" customWidth="1"/>
    <col min="17" max="17" width="0" hidden="1" customWidth="1"/>
    <col min="18" max="19" width="4.33203125" style="136" hidden="1" customWidth="1"/>
    <col min="20" max="20" width="4.33203125" customWidth="1"/>
    <col min="21" max="24" width="4.33203125" hidden="1" customWidth="1"/>
    <col min="25" max="25" width="17.77734375" customWidth="1"/>
    <col min="26" max="26" width="1.6640625" customWidth="1"/>
    <col min="27" max="27" width="66.5546875" customWidth="1"/>
  </cols>
  <sheetData>
    <row r="1" spans="1:27" ht="24" thickBot="1" x14ac:dyDescent="0.5">
      <c r="A1" s="245" t="s">
        <v>32</v>
      </c>
      <c r="B1" s="246"/>
      <c r="C1" s="246"/>
      <c r="D1" s="246"/>
      <c r="E1" s="246"/>
      <c r="F1" s="246"/>
      <c r="G1" s="246"/>
      <c r="H1" s="246"/>
      <c r="I1" s="246"/>
      <c r="J1" s="246"/>
      <c r="K1" s="246"/>
      <c r="L1" s="246"/>
      <c r="M1" s="246"/>
      <c r="N1" s="246"/>
      <c r="O1" s="246"/>
      <c r="P1" s="246"/>
      <c r="Q1" s="247"/>
      <c r="R1" s="133"/>
      <c r="S1" s="133"/>
      <c r="Y1" s="226" t="s">
        <v>115</v>
      </c>
      <c r="Z1" s="227"/>
      <c r="AA1" s="228"/>
    </row>
    <row r="2" spans="1:27" ht="15" thickBot="1" x14ac:dyDescent="0.35">
      <c r="A2" s="5" t="s">
        <v>0</v>
      </c>
      <c r="B2" s="33" t="s">
        <v>21</v>
      </c>
      <c r="C2" s="33" t="s">
        <v>29</v>
      </c>
      <c r="D2" s="32" t="s">
        <v>1</v>
      </c>
      <c r="E2" s="33" t="s">
        <v>27</v>
      </c>
      <c r="F2" s="38" t="s">
        <v>28</v>
      </c>
      <c r="G2" s="38" t="s">
        <v>25</v>
      </c>
      <c r="H2" s="32" t="s">
        <v>26</v>
      </c>
      <c r="I2" s="41" t="s">
        <v>2</v>
      </c>
      <c r="J2" s="50" t="s">
        <v>4</v>
      </c>
      <c r="K2" s="51" t="s">
        <v>3</v>
      </c>
      <c r="L2" s="22" t="s">
        <v>17</v>
      </c>
      <c r="M2" s="22" t="s">
        <v>19</v>
      </c>
      <c r="N2" s="22" t="s">
        <v>16</v>
      </c>
      <c r="O2" s="22" t="s">
        <v>18</v>
      </c>
      <c r="P2" s="51" t="s">
        <v>5</v>
      </c>
      <c r="Q2" s="182" t="s">
        <v>120</v>
      </c>
      <c r="R2" s="134"/>
      <c r="S2" s="134"/>
      <c r="Y2" s="229"/>
      <c r="Z2" s="230"/>
      <c r="AA2" s="231"/>
    </row>
    <row r="3" spans="1:27" ht="15" customHeight="1" thickBot="1" x14ac:dyDescent="0.35">
      <c r="A3" s="225" t="str">
        <f>IF('Tournament Details'!A1&gt;=1,IF(LARGE('Tournament Details'!C7:C86,1)&gt;=2,1,""),"")</f>
        <v/>
      </c>
      <c r="B3" s="42">
        <f t="shared" ref="B3:B34" si="0">IF(Q3="","",(Q3*10000)+K3)</f>
        <v>0</v>
      </c>
      <c r="C3" s="44" t="str">
        <f>IF(D3="","",IF(COUNTIF(E:E,E3)=1,RANK(E3,E:E),RANK(F3,F:F)))</f>
        <v/>
      </c>
      <c r="D3" s="66" t="str">
        <f>IF('Tournament Details'!A1&gt;=1,IF('Tournament Details'!C7&lt;=LARGE('Round 4'!$C:$C,1),VLOOKUP(SMALL('Round 4'!$C:$C,1),'Round 4'!$C:$D,2,FALSE),""),"")</f>
        <v/>
      </c>
      <c r="E3" s="44" t="str">
        <f>IF(D3="","",B3+VLOOKUP(D3,'Round 4'!$D:$E,2,FALSE))</f>
        <v/>
      </c>
      <c r="F3" s="44" t="str">
        <f>IF(D3="","",(LARGE('Tournament Details'!$C:$C,1)+1-D3)+E3)</f>
        <v/>
      </c>
      <c r="G3" s="23" t="str">
        <f>D4</f>
        <v/>
      </c>
      <c r="H3" s="25" t="str">
        <f>IF(D3="","",IF(VLOOKUP(D3,'Tournament Details'!$C:$G,5,FALSE)="",D3,VLOOKUP(D3,'Tournament Details'!$C:$G,5,FALSE)))</f>
        <v/>
      </c>
      <c r="I3" s="7" t="str">
        <f>IF(D3=0,"",IF(VLOOKUP(D3,'Tournament Details'!$C:$E,3,FALSE)&gt;0,VLOOKUP(D3,'Tournament Details'!$C:$E,3,FALSE),""))</f>
        <v/>
      </c>
      <c r="J3" s="129"/>
      <c r="K3" s="129"/>
      <c r="L3" s="23"/>
      <c r="M3" s="23"/>
      <c r="N3" s="23"/>
      <c r="O3" s="23"/>
      <c r="P3" s="192">
        <v>0</v>
      </c>
      <c r="Q3" s="183">
        <f t="shared" ref="Q3:Q34" si="1">IF(P3="",0,P3)</f>
        <v>0</v>
      </c>
      <c r="R3" s="135" t="str">
        <f t="shared" ref="R3:R34" si="2">IF(J3="","",IF(J3&gt;16,"!",IF(J3&lt;4,"!","")))</f>
        <v/>
      </c>
      <c r="S3" s="135" t="str">
        <f>IF(Q3="","",IF(Q3+VLOOKUP(G3,D:Q,14,FALSE)&lt;&gt;20,IF(Q3+VLOOKUP(G3,D:Q,14,FALSE)&lt;&gt;0,"!",""),""))</f>
        <v/>
      </c>
      <c r="T3" s="21" t="str">
        <f t="shared" ref="T3:T34" si="3">IF(R3="!","!",IF(S3="!","!",""))</f>
        <v/>
      </c>
      <c r="U3" s="132">
        <f>IF(D3="",0,VLOOKUP(D3,'Tournament Details'!$C:$X,22,FALSE))</f>
        <v>0</v>
      </c>
      <c r="V3" s="132">
        <f>IF(D3="",0,VLOOKUP(D3,'Tournament Details'!$C:$Y,23,FALSE))</f>
        <v>0</v>
      </c>
      <c r="W3" s="132">
        <f>IF(D3="",0,VLOOKUP(D3,'Tournament Details'!$C:$Z,24,FALSE))</f>
        <v>0</v>
      </c>
      <c r="X3" s="132">
        <f>IF(D3="",0,VLOOKUP(D3,'Tournament Details'!$C:$AA,25,FALSE))</f>
        <v>0</v>
      </c>
      <c r="Y3" s="40" t="str">
        <f>IF(D3="","",IF(COUNTIF(D:D,D3)&gt;1,"DUPLICATE PLAYER",IF(D4="","NO OPPONENT",IF(D4=U3,"REPEAT MATCHUP",IF(D4=V3,"REPEAT MATCHUP",IF(D4=W3,"REPEAT MATCHUP",IF(D4=X3,"REPEAT MATCHUP",IF(H3=H4,"SAME TEAM",""))))))))</f>
        <v/>
      </c>
      <c r="Z3" s="40"/>
      <c r="AA3" t="str">
        <f>IF(Y3="NO OPPONENT","",IF(Y3&lt;&gt;"",CONCATENATE("Previous Matchup Player #: ",VLOOKUP(D3,'Tournament Details'!$C:$X,22,FALSE)," - ",VLOOKUP(D3,'Tournament Details'!$C:$Y,23,FALSE)," - ",VLOOKUP(D3,'Tournament Details'!$C:$Z,24,FALSE)," - ",VLOOKUP(D3,'Tournament Details'!$C:$AA,25,FALSE)),""))</f>
        <v/>
      </c>
    </row>
    <row r="4" spans="1:27" ht="15" customHeight="1" thickBot="1" x14ac:dyDescent="0.35">
      <c r="A4" s="224"/>
      <c r="B4" s="43">
        <f t="shared" si="0"/>
        <v>0</v>
      </c>
      <c r="C4" s="44" t="str">
        <f t="shared" ref="C4:C67" si="4">IF(D4="","",IF(COUNTIF(E:E,E4)=1,RANK(E4,E:E),RANK(F4,F:F)))</f>
        <v/>
      </c>
      <c r="D4" s="74" t="str">
        <f>IF('Tournament Details'!A1&gt;=1,IF('Tournament Details'!C8&lt;=LARGE('Round 4'!$C:$C,1),VLOOKUP(SMALL('Round 4'!$C:$C,2),'Round 4'!$C:$D,2,FALSE),""),"")</f>
        <v/>
      </c>
      <c r="E4" s="44" t="str">
        <f>IF(D4="","",B4+VLOOKUP(D4,'Round 4'!$D:$E,2,FALSE))</f>
        <v/>
      </c>
      <c r="F4" s="44" t="str">
        <f>IF(D4="","",(LARGE('Tournament Details'!$C:$C,1)+1-D4)+E4)</f>
        <v/>
      </c>
      <c r="G4" s="24" t="str">
        <f>D3</f>
        <v/>
      </c>
      <c r="H4" s="26" t="str">
        <f>IF(D4="","",IF(VLOOKUP(D4,'Tournament Details'!$C:$G,5,FALSE)="",D4,VLOOKUP(D4,'Tournament Details'!$C:$G,5,FALSE)))</f>
        <v/>
      </c>
      <c r="I4" s="12" t="str">
        <f>IF(D4=0,"",IF(VLOOKUP(D4,'Tournament Details'!$C:$E,3,FALSE)&gt;0,VLOOKUP(D4,'Tournament Details'!$C:$E,3,FALSE),""))</f>
        <v/>
      </c>
      <c r="J4" s="130"/>
      <c r="K4" s="130"/>
      <c r="L4" s="23"/>
      <c r="M4" s="24"/>
      <c r="N4" s="24"/>
      <c r="O4" s="24"/>
      <c r="P4" s="193">
        <v>0</v>
      </c>
      <c r="Q4" s="183">
        <f t="shared" si="1"/>
        <v>0</v>
      </c>
      <c r="R4" s="135" t="str">
        <f t="shared" si="2"/>
        <v/>
      </c>
      <c r="S4" s="135" t="str">
        <f>IF(Q4="","",IF(Q4+VLOOKUP(G4,D:Q,14,FALSE)&lt;&gt;20,IF(Q4+VLOOKUP(G4,D:Q,14,FALSE)&lt;&gt;0,"!",""),""))</f>
        <v/>
      </c>
      <c r="T4" s="21" t="str">
        <f t="shared" si="3"/>
        <v/>
      </c>
      <c r="U4" s="132">
        <f>IF(D4="",0,VLOOKUP(D4,'Tournament Details'!$C:$X,22,FALSE))</f>
        <v>0</v>
      </c>
      <c r="V4" s="132">
        <f>IF(D4="",0,VLOOKUP(D4,'Tournament Details'!$C:$Y,23,FALSE))</f>
        <v>0</v>
      </c>
      <c r="W4" s="132">
        <f>IF(D4="",0,VLOOKUP(D4,'Tournament Details'!$C:$Z,24,FALSE))</f>
        <v>0</v>
      </c>
      <c r="X4" s="132">
        <f>IF(D4="",0,VLOOKUP(D4,'Tournament Details'!$C:$AA,25,FALSE))</f>
        <v>0</v>
      </c>
      <c r="Y4" s="40" t="str">
        <f>IF(D4="","",IF(COUNTIF(D:D,D4)&gt;1,"DUPLICATE PLAYER",IF(D3="","NO OPPONENT",IF(D3=U4,"REPEAT MATCHUP",IF(D3=V4,"REPEAT MATCHUP",IF(D3=W4,"REPEAT MATCHUP",IF(D3=X4,"REPEAT MATCHUP",IF(H4=H3,"SAME TEAM",""))))))))</f>
        <v/>
      </c>
      <c r="Z4" s="40"/>
      <c r="AA4" t="str">
        <f>IF(Y4="NO OPPONENT","",IF(Y4&lt;&gt;"",CONCATENATE("Previous Matchup Player #: ",VLOOKUP(D4,'Tournament Details'!$C:$X,22,FALSE)," - ",VLOOKUP(D4,'Tournament Details'!$C:$Y,23,FALSE)," - ",VLOOKUP(D4,'Tournament Details'!$C:$Z,24,FALSE)," - ",VLOOKUP(D4,'Tournament Details'!$C:$AA,25,FALSE)),""))</f>
        <v/>
      </c>
    </row>
    <row r="5" spans="1:27" ht="15" customHeight="1" thickBot="1" x14ac:dyDescent="0.35">
      <c r="A5" s="224" t="str">
        <f>IF('Tournament Details'!A1&gt;=1,IF(LARGE('Tournament Details'!C7:C86,1)&gt;=4,2,""),"")</f>
        <v/>
      </c>
      <c r="B5" s="42">
        <f t="shared" si="0"/>
        <v>0</v>
      </c>
      <c r="C5" s="44" t="str">
        <f t="shared" si="4"/>
        <v/>
      </c>
      <c r="D5" s="66" t="str">
        <f>IF('Tournament Details'!A1&gt;=1,IF('Tournament Details'!C9&lt;=LARGE('Round 4'!$C:$C,1),VLOOKUP(SMALL('Round 4'!$C:$C,3),'Round 4'!$C:$D,2,FALSE),""),"")</f>
        <v/>
      </c>
      <c r="E5" s="44" t="str">
        <f>IF(D5="","",B5+VLOOKUP(D5,'Round 4'!$D:$E,2,FALSE))</f>
        <v/>
      </c>
      <c r="F5" s="44" t="str">
        <f>IF(D5="","",(LARGE('Tournament Details'!$C:$C,1)+1-D5)+E5)</f>
        <v/>
      </c>
      <c r="G5" s="23" t="str">
        <f>D6</f>
        <v/>
      </c>
      <c r="H5" s="25" t="str">
        <f>IF(D5="","",IF(VLOOKUP(D5,'Tournament Details'!$C:$G,5,FALSE)="",D5,VLOOKUP(D5,'Tournament Details'!$C:$G,5,FALSE)))</f>
        <v/>
      </c>
      <c r="I5" s="7" t="str">
        <f>IF(D5=0,"",IF(VLOOKUP(D5,'Tournament Details'!$C:$E,3,FALSE)&gt;0,VLOOKUP(D5,'Tournament Details'!$C:$E,3,FALSE),""))</f>
        <v/>
      </c>
      <c r="J5" s="129"/>
      <c r="K5" s="129"/>
      <c r="L5" s="23"/>
      <c r="M5" s="23"/>
      <c r="N5" s="23"/>
      <c r="O5" s="23"/>
      <c r="P5" s="192">
        <v>0</v>
      </c>
      <c r="Q5" s="183">
        <f t="shared" si="1"/>
        <v>0</v>
      </c>
      <c r="R5" s="135" t="str">
        <f t="shared" si="2"/>
        <v/>
      </c>
      <c r="S5" s="135" t="str">
        <f>IF(Q5="","",IF(Q5+Q6&lt;&gt;20,IF(Q5+Q6&lt;&gt;0,"!",""),""))</f>
        <v/>
      </c>
      <c r="T5" s="21" t="str">
        <f t="shared" si="3"/>
        <v/>
      </c>
      <c r="U5" s="132">
        <f>IF(D5="",0,VLOOKUP(D5,'Tournament Details'!$C:$X,22,FALSE))</f>
        <v>0</v>
      </c>
      <c r="V5" s="132">
        <f>IF(D5="",0,VLOOKUP(D5,'Tournament Details'!$C:$Y,23,FALSE))</f>
        <v>0</v>
      </c>
      <c r="W5" s="132">
        <f>IF(D5="",0,VLOOKUP(D5,'Tournament Details'!$C:$Z,24,FALSE))</f>
        <v>0</v>
      </c>
      <c r="X5" s="132">
        <f>IF(D5="",0,VLOOKUP(D5,'Tournament Details'!$C:$AA,25,FALSE))</f>
        <v>0</v>
      </c>
      <c r="Y5" s="40" t="str">
        <f>IF(D5="","",IF(COUNTIF(D:D,D5)&gt;1,"DUPLICATE PLAYER",IF(D6="","NO OPPONENT",IF(D6=U5,"REPEAT MATCHUP",IF(D6=V5,"REPEAT MATCHUP",IF(D6=W5,"REPEAT MATCHUP",IF(D6=X5,"REPEAT MATCHUP",IF(H5=H6,"SAME TEAM",""))))))))</f>
        <v/>
      </c>
      <c r="Z5" s="40"/>
      <c r="AA5" t="str">
        <f>IF(Y5="NO OPPONENT","",IF(Y5&lt;&gt;"",CONCATENATE("Previous Matchup Player #: ",VLOOKUP(D5,'Tournament Details'!$C:$X,22,FALSE)," - ",VLOOKUP(D5,'Tournament Details'!$C:$Y,23,FALSE)," - ",VLOOKUP(D5,'Tournament Details'!$C:$Z,24,FALSE)," - ",VLOOKUP(D5,'Tournament Details'!$C:$AA,25,FALSE)),""))</f>
        <v/>
      </c>
    </row>
    <row r="6" spans="1:27" ht="15" customHeight="1" thickBot="1" x14ac:dyDescent="0.35">
      <c r="A6" s="224"/>
      <c r="B6" s="43">
        <f t="shared" si="0"/>
        <v>0</v>
      </c>
      <c r="C6" s="44" t="str">
        <f t="shared" si="4"/>
        <v/>
      </c>
      <c r="D6" s="74" t="str">
        <f>IF('Tournament Details'!A1&gt;=1,IF('Tournament Details'!C10&lt;=LARGE('Round 4'!$C:$C,1),VLOOKUP(SMALL('Round 4'!$C:$C,4),'Round 4'!$C:$D,2,FALSE),""),"")</f>
        <v/>
      </c>
      <c r="E6" s="44" t="str">
        <f>IF(D6="","",B6+VLOOKUP(D6,'Round 4'!$D:$E,2,FALSE))</f>
        <v/>
      </c>
      <c r="F6" s="44" t="str">
        <f>IF(D6="","",(LARGE('Tournament Details'!$C:$C,1)+1-D6)+E6)</f>
        <v/>
      </c>
      <c r="G6" s="24" t="str">
        <f>D5</f>
        <v/>
      </c>
      <c r="H6" s="26" t="str">
        <f>IF(D6="","",IF(VLOOKUP(D6,'Tournament Details'!$C:$G,5,FALSE)="",D6,VLOOKUP(D6,'Tournament Details'!$C:$G,5,FALSE)))</f>
        <v/>
      </c>
      <c r="I6" s="12" t="str">
        <f>IF(D6=0,"",IF(VLOOKUP(D6,'Tournament Details'!$C:$E,3,FALSE)&gt;0,VLOOKUP(D6,'Tournament Details'!$C:$E,3,FALSE),""))</f>
        <v/>
      </c>
      <c r="J6" s="130"/>
      <c r="K6" s="130"/>
      <c r="L6" s="23"/>
      <c r="M6" s="24"/>
      <c r="N6" s="24"/>
      <c r="O6" s="24"/>
      <c r="P6" s="193">
        <v>0</v>
      </c>
      <c r="Q6" s="183">
        <f t="shared" si="1"/>
        <v>0</v>
      </c>
      <c r="R6" s="135" t="str">
        <f t="shared" si="2"/>
        <v/>
      </c>
      <c r="S6" s="135" t="str">
        <f>IF(Q6="","",IF(Q5+Q6&lt;&gt;20,IF(Q5+Q6&lt;&gt;0,"!",""),""))</f>
        <v/>
      </c>
      <c r="T6" s="21" t="str">
        <f t="shared" si="3"/>
        <v/>
      </c>
      <c r="U6" s="132">
        <f>IF(D6="",0,VLOOKUP(D6,'Tournament Details'!$C:$X,22,FALSE))</f>
        <v>0</v>
      </c>
      <c r="V6" s="132">
        <f>IF(D6="",0,VLOOKUP(D6,'Tournament Details'!$C:$Y,23,FALSE))</f>
        <v>0</v>
      </c>
      <c r="W6" s="132">
        <f>IF(D6="",0,VLOOKUP(D6,'Tournament Details'!$C:$Z,24,FALSE))</f>
        <v>0</v>
      </c>
      <c r="X6" s="132">
        <f>IF(D6="",0,VLOOKUP(D6,'Tournament Details'!$C:$AA,25,FALSE))</f>
        <v>0</v>
      </c>
      <c r="Y6" s="40" t="str">
        <f>IF(D6="","",IF(COUNTIF(D:D,D6)&gt;1,"DUPLICATE PLAYER",IF(D5="","NO OPPONENT",IF(D5=U6,"REPEAT MATCHUP",IF(D5=V6,"REPEAT MATCHUP",IF(D5=W6,"REPEAT MATCHUP",IF(D5=X6,"REPEAT MATCHUP",IF(H6=H5,"SAME TEAM",""))))))))</f>
        <v/>
      </c>
      <c r="Z6" s="40"/>
      <c r="AA6" t="str">
        <f>IF(Y6="NO OPPONENT","",IF(Y6&lt;&gt;"",CONCATENATE("Previous Matchup Player #: ",VLOOKUP(D6,'Tournament Details'!$C:$X,22,FALSE)," - ",VLOOKUP(D6,'Tournament Details'!$C:$Y,23,FALSE)," - ",VLOOKUP(D6,'Tournament Details'!$C:$Z,24,FALSE)," - ",VLOOKUP(D6,'Tournament Details'!$C:$AA,25,FALSE)),""))</f>
        <v/>
      </c>
    </row>
    <row r="7" spans="1:27" ht="15" customHeight="1" thickBot="1" x14ac:dyDescent="0.35">
      <c r="A7" s="224" t="str">
        <f>IF('Tournament Details'!A1&gt;=1,IF(LARGE('Tournament Details'!C7:C86,1)&gt;=6,3,""),"")</f>
        <v/>
      </c>
      <c r="B7" s="42">
        <f t="shared" si="0"/>
        <v>0</v>
      </c>
      <c r="C7" s="44" t="str">
        <f t="shared" si="4"/>
        <v/>
      </c>
      <c r="D7" s="66" t="str">
        <f>IF('Tournament Details'!A1&gt;=1,IF('Tournament Details'!C11&lt;=LARGE('Round 4'!$C:$C,1),VLOOKUP(SMALL('Round 4'!$C:$C,5),'Round 4'!$C:$D,2,FALSE),""),"")</f>
        <v/>
      </c>
      <c r="E7" s="44" t="str">
        <f>IF(D7="","",B7+VLOOKUP(D7,'Round 4'!$D:$E,2,FALSE))</f>
        <v/>
      </c>
      <c r="F7" s="44" t="str">
        <f>IF(D7="","",(LARGE('Tournament Details'!$C:$C,1)+1-D7)+E7)</f>
        <v/>
      </c>
      <c r="G7" s="23" t="str">
        <f>D8</f>
        <v/>
      </c>
      <c r="H7" s="25" t="str">
        <f>IF(D7="","",IF(VLOOKUP(D7,'Tournament Details'!$C:$G,5,FALSE)="",D7,VLOOKUP(D7,'Tournament Details'!$C:$G,5,FALSE)))</f>
        <v/>
      </c>
      <c r="I7" s="7" t="str">
        <f>IF(D7=0,"",IF(VLOOKUP(D7,'Tournament Details'!$C:$E,3,FALSE)&gt;0,VLOOKUP(D7,'Tournament Details'!$C:$E,3,FALSE),""))</f>
        <v/>
      </c>
      <c r="J7" s="129"/>
      <c r="K7" s="129"/>
      <c r="L7" s="23"/>
      <c r="M7" s="23"/>
      <c r="N7" s="23"/>
      <c r="O7" s="23"/>
      <c r="P7" s="192">
        <v>0</v>
      </c>
      <c r="Q7" s="183">
        <f t="shared" si="1"/>
        <v>0</v>
      </c>
      <c r="R7" s="135" t="str">
        <f t="shared" si="2"/>
        <v/>
      </c>
      <c r="S7" s="135" t="str">
        <f>IF(Q7="","",IF(Q7+Q8&lt;&gt;20,IF(Q7+Q8&lt;&gt;0,"!",""),""))</f>
        <v/>
      </c>
      <c r="T7" s="21" t="str">
        <f t="shared" si="3"/>
        <v/>
      </c>
      <c r="U7" s="132">
        <f>IF(D7="",0,VLOOKUP(D7,'Tournament Details'!$C:$X,22,FALSE))</f>
        <v>0</v>
      </c>
      <c r="V7" s="132">
        <f>IF(D7="",0,VLOOKUP(D7,'Tournament Details'!$C:$Y,23,FALSE))</f>
        <v>0</v>
      </c>
      <c r="W7" s="132">
        <f>IF(D7="",0,VLOOKUP(D7,'Tournament Details'!$C:$Z,24,FALSE))</f>
        <v>0</v>
      </c>
      <c r="X7" s="132">
        <f>IF(D7="",0,VLOOKUP(D7,'Tournament Details'!$C:$AA,25,FALSE))</f>
        <v>0</v>
      </c>
      <c r="Y7" s="40" t="str">
        <f>IF(D7="","",IF(COUNTIF(D:D,D7)&gt;1,"DUPLICATE PLAYER",IF(D8="","NO OPPONENT",IF(D8=U7,"REPEAT MATCHUP",IF(D8=V7,"REPEAT MATCHUP",IF(D8=W7,"REPEAT MATCHUP",IF(D8=X7,"REPEAT MATCHUP",IF(H7=H8,"SAME TEAM",""))))))))</f>
        <v/>
      </c>
      <c r="Z7" s="40"/>
      <c r="AA7" t="str">
        <f>IF(Y7="NO OPPONENT","",IF(Y7&lt;&gt;"",CONCATENATE("Previous Matchup Player #: ",VLOOKUP(D7,'Tournament Details'!$C:$X,22,FALSE)," - ",VLOOKUP(D7,'Tournament Details'!$C:$Y,23,FALSE)," - ",VLOOKUP(D7,'Tournament Details'!$C:$Z,24,FALSE)," - ",VLOOKUP(D7,'Tournament Details'!$C:$AA,25,FALSE)),""))</f>
        <v/>
      </c>
    </row>
    <row r="8" spans="1:27" ht="15" customHeight="1" thickBot="1" x14ac:dyDescent="0.35">
      <c r="A8" s="224"/>
      <c r="B8" s="43">
        <f t="shared" si="0"/>
        <v>0</v>
      </c>
      <c r="C8" s="44" t="str">
        <f t="shared" si="4"/>
        <v/>
      </c>
      <c r="D8" s="74" t="str">
        <f>IF('Tournament Details'!A1&gt;=1,IF('Tournament Details'!C12&lt;=LARGE('Round 4'!$C:$C,1),VLOOKUP(SMALL('Round 4'!$C:$C,6),'Round 4'!$C:$D,2,FALSE),""),"")</f>
        <v/>
      </c>
      <c r="E8" s="44" t="str">
        <f>IF(D8="","",B8+VLOOKUP(D8,'Round 4'!$D:$E,2,FALSE))</f>
        <v/>
      </c>
      <c r="F8" s="44" t="str">
        <f>IF(D8="","",(LARGE('Tournament Details'!$C:$C,1)+1-D8)+E8)</f>
        <v/>
      </c>
      <c r="G8" s="24" t="str">
        <f>D7</f>
        <v/>
      </c>
      <c r="H8" s="26" t="str">
        <f>IF(D8="","",IF(VLOOKUP(D8,'Tournament Details'!$C:$G,5,FALSE)="",D8,VLOOKUP(D8,'Tournament Details'!$C:$G,5,FALSE)))</f>
        <v/>
      </c>
      <c r="I8" s="12" t="str">
        <f>IF(D8=0,"",IF(VLOOKUP(D8,'Tournament Details'!$C:$E,3,FALSE)&gt;0,VLOOKUP(D8,'Tournament Details'!$C:$E,3,FALSE),""))</f>
        <v/>
      </c>
      <c r="J8" s="130"/>
      <c r="K8" s="130"/>
      <c r="L8" s="23"/>
      <c r="M8" s="24"/>
      <c r="N8" s="24"/>
      <c r="O8" s="24"/>
      <c r="P8" s="193">
        <v>0</v>
      </c>
      <c r="Q8" s="183">
        <f t="shared" si="1"/>
        <v>0</v>
      </c>
      <c r="R8" s="135" t="str">
        <f t="shared" si="2"/>
        <v/>
      </c>
      <c r="S8" s="135" t="str">
        <f>IF(Q8="","",IF(Q7+Q8&lt;&gt;20,IF(Q7+Q8&lt;&gt;0,"!",""),""))</f>
        <v/>
      </c>
      <c r="T8" s="21" t="str">
        <f t="shared" si="3"/>
        <v/>
      </c>
      <c r="U8" s="132">
        <f>IF(D8="",0,VLOOKUP(D8,'Tournament Details'!$C:$X,22,FALSE))</f>
        <v>0</v>
      </c>
      <c r="V8" s="132">
        <f>IF(D8="",0,VLOOKUP(D8,'Tournament Details'!$C:$Y,23,FALSE))</f>
        <v>0</v>
      </c>
      <c r="W8" s="132">
        <f>IF(D8="",0,VLOOKUP(D8,'Tournament Details'!$C:$Z,24,FALSE))</f>
        <v>0</v>
      </c>
      <c r="X8" s="132">
        <f>IF(D8="",0,VLOOKUP(D8,'Tournament Details'!$C:$AA,25,FALSE))</f>
        <v>0</v>
      </c>
      <c r="Y8" s="40" t="str">
        <f>IF(D8="","",IF(COUNTIF(D:D,D8)&gt;1,"DUPLICATE PLAYER",IF(D7="","NO OPPONENT",IF(D7=U8,"REPEAT MATCHUP",IF(D7=V8,"REPEAT MATCHUP",IF(D7=W8,"REPEAT MATCHUP",IF(D7=X8,"REPEAT MATCHUP",IF(H8=H7,"SAME TEAM",""))))))))</f>
        <v/>
      </c>
      <c r="Z8" s="40"/>
      <c r="AA8" t="str">
        <f>IF(Y8="NO OPPONENT","",IF(Y8&lt;&gt;"",CONCATENATE("Previous Matchup Player #: ",VLOOKUP(D8,'Tournament Details'!$C:$X,22,FALSE)," - ",VLOOKUP(D8,'Tournament Details'!$C:$Y,23,FALSE)," - ",VLOOKUP(D8,'Tournament Details'!$C:$Z,24,FALSE)," - ",VLOOKUP(D8,'Tournament Details'!$C:$AA,25,FALSE)),""))</f>
        <v/>
      </c>
    </row>
    <row r="9" spans="1:27" ht="15" customHeight="1" thickBot="1" x14ac:dyDescent="0.35">
      <c r="A9" s="224" t="str">
        <f>IF('Tournament Details'!A1&gt;=1,IF(LARGE('Tournament Details'!C7:C86,1)&gt;=8,4,""),"")</f>
        <v/>
      </c>
      <c r="B9" s="42">
        <f t="shared" si="0"/>
        <v>0</v>
      </c>
      <c r="C9" s="44" t="str">
        <f t="shared" si="4"/>
        <v/>
      </c>
      <c r="D9" s="66" t="str">
        <f>IF('Tournament Details'!A1&gt;=1,IF('Tournament Details'!C13&lt;=LARGE('Round 4'!$C:$C,1),VLOOKUP(SMALL('Round 4'!$C:$C,7),'Round 4'!$C:$D,2,FALSE),""),"")</f>
        <v/>
      </c>
      <c r="E9" s="44" t="str">
        <f>IF(D9="","",B9+VLOOKUP(D9,'Round 4'!$D:$E,2,FALSE))</f>
        <v/>
      </c>
      <c r="F9" s="44" t="str">
        <f>IF(D9="","",(LARGE('Tournament Details'!$C:$C,1)+1-D9)+E9)</f>
        <v/>
      </c>
      <c r="G9" s="23" t="str">
        <f>D10</f>
        <v/>
      </c>
      <c r="H9" s="25" t="str">
        <f>IF(D9="","",IF(VLOOKUP(D9,'Tournament Details'!$C:$G,5,FALSE)="",D9,VLOOKUP(D9,'Tournament Details'!$C:$G,5,FALSE)))</f>
        <v/>
      </c>
      <c r="I9" s="7" t="str">
        <f>IF(D9=0,"",IF(VLOOKUP(D9,'Tournament Details'!$C:$E,3,FALSE)&gt;0,VLOOKUP(D9,'Tournament Details'!$C:$E,3,FALSE),""))</f>
        <v/>
      </c>
      <c r="J9" s="129"/>
      <c r="K9" s="129"/>
      <c r="L9" s="23"/>
      <c r="M9" s="23"/>
      <c r="N9" s="23"/>
      <c r="O9" s="23"/>
      <c r="P9" s="192">
        <v>0</v>
      </c>
      <c r="Q9" s="183">
        <f t="shared" si="1"/>
        <v>0</v>
      </c>
      <c r="R9" s="135" t="str">
        <f t="shared" si="2"/>
        <v/>
      </c>
      <c r="S9" s="135" t="str">
        <f>IF(Q9="","",IF(Q9+Q10&lt;&gt;20,IF(Q9+Q10&lt;&gt;0,"!",""),""))</f>
        <v/>
      </c>
      <c r="T9" s="21" t="str">
        <f t="shared" si="3"/>
        <v/>
      </c>
      <c r="U9" s="132">
        <f>IF(D9="",0,VLOOKUP(D9,'Tournament Details'!$C:$X,22,FALSE))</f>
        <v>0</v>
      </c>
      <c r="V9" s="132">
        <f>IF(D9="",0,VLOOKUP(D9,'Tournament Details'!$C:$Y,23,FALSE))</f>
        <v>0</v>
      </c>
      <c r="W9" s="132">
        <f>IF(D9="",0,VLOOKUP(D9,'Tournament Details'!$C:$Z,24,FALSE))</f>
        <v>0</v>
      </c>
      <c r="X9" s="132">
        <f>IF(D9="",0,VLOOKUP(D9,'Tournament Details'!$C:$AA,25,FALSE))</f>
        <v>0</v>
      </c>
      <c r="Y9" s="40" t="str">
        <f>IF(D9="","",IF(COUNTIF(D:D,D9)&gt;1,"DUPLICATE PLAYER",IF(D10="","NO OPPONENT",IF(D10=U9,"REPEAT MATCHUP",IF(D10=V9,"REPEAT MATCHUP",IF(D10=W9,"REPEAT MATCHUP",IF(D10=X9,"REPEAT MATCHUP",IF(H9=H10,"SAME TEAM",""))))))))</f>
        <v/>
      </c>
      <c r="Z9" s="40"/>
      <c r="AA9" t="str">
        <f>IF(Y9="NO OPPONENT","",IF(Y9&lt;&gt;"",CONCATENATE("Previous Matchup Player #: ",VLOOKUP(D9,'Tournament Details'!$C:$X,22,FALSE)," - ",VLOOKUP(D9,'Tournament Details'!$C:$Y,23,FALSE)," - ",VLOOKUP(D9,'Tournament Details'!$C:$Z,24,FALSE)," - ",VLOOKUP(D9,'Tournament Details'!$C:$AA,25,FALSE)),""))</f>
        <v/>
      </c>
    </row>
    <row r="10" spans="1:27" ht="15" customHeight="1" thickBot="1" x14ac:dyDescent="0.35">
      <c r="A10" s="224"/>
      <c r="B10" s="43">
        <f t="shared" si="0"/>
        <v>0</v>
      </c>
      <c r="C10" s="44" t="str">
        <f t="shared" si="4"/>
        <v/>
      </c>
      <c r="D10" s="74" t="str">
        <f>IF('Tournament Details'!A1&gt;=1,IF('Tournament Details'!C14&lt;=LARGE('Round 4'!$C:$C,1),VLOOKUP(SMALL('Round 4'!$C:$C,8),'Round 4'!$C:$D,2,FALSE),""),"")</f>
        <v/>
      </c>
      <c r="E10" s="44" t="str">
        <f>IF(D10="","",B10+VLOOKUP(D10,'Round 4'!$D:$E,2,FALSE))</f>
        <v/>
      </c>
      <c r="F10" s="44" t="str">
        <f>IF(D10="","",(LARGE('Tournament Details'!$C:$C,1)+1-D10)+E10)</f>
        <v/>
      </c>
      <c r="G10" s="24" t="str">
        <f>D9</f>
        <v/>
      </c>
      <c r="H10" s="26" t="str">
        <f>IF(D10="","",IF(VLOOKUP(D10,'Tournament Details'!$C:$G,5,FALSE)="",D10,VLOOKUP(D10,'Tournament Details'!$C:$G,5,FALSE)))</f>
        <v/>
      </c>
      <c r="I10" s="12" t="str">
        <f>IF(D10=0,"",IF(VLOOKUP(D10,'Tournament Details'!$C:$E,3,FALSE)&gt;0,VLOOKUP(D10,'Tournament Details'!$C:$E,3,FALSE),""))</f>
        <v/>
      </c>
      <c r="J10" s="130"/>
      <c r="K10" s="130"/>
      <c r="L10" s="23"/>
      <c r="M10" s="24"/>
      <c r="N10" s="24"/>
      <c r="O10" s="24"/>
      <c r="P10" s="193">
        <v>0</v>
      </c>
      <c r="Q10" s="183">
        <f t="shared" si="1"/>
        <v>0</v>
      </c>
      <c r="R10" s="135" t="str">
        <f t="shared" si="2"/>
        <v/>
      </c>
      <c r="S10" s="135" t="str">
        <f>IF(Q10="","",IF(Q9+Q10&lt;&gt;20,IF(Q9+Q10&lt;&gt;0,"!",""),""))</f>
        <v/>
      </c>
      <c r="T10" s="21" t="str">
        <f t="shared" si="3"/>
        <v/>
      </c>
      <c r="U10" s="132">
        <f>IF(D10="",0,VLOOKUP(D10,'Tournament Details'!$C:$X,22,FALSE))</f>
        <v>0</v>
      </c>
      <c r="V10" s="132">
        <f>IF(D10="",0,VLOOKUP(D10,'Tournament Details'!$C:$Y,23,FALSE))</f>
        <v>0</v>
      </c>
      <c r="W10" s="132">
        <f>IF(D10="",0,VLOOKUP(D10,'Tournament Details'!$C:$Z,24,FALSE))</f>
        <v>0</v>
      </c>
      <c r="X10" s="132">
        <f>IF(D10="",0,VLOOKUP(D10,'Tournament Details'!$C:$AA,25,FALSE))</f>
        <v>0</v>
      </c>
      <c r="Y10" s="40" t="str">
        <f>IF(D10="","",IF(COUNTIF(D:D,D10)&gt;1,"DUPLICATE PLAYER",IF(D9="","NO OPPONENT",IF(D9=U10,"REPEAT MATCHUP",IF(D9=V10,"REPEAT MATCHUP",IF(D9=W10,"REPEAT MATCHUP",IF(D9=X10,"REPEAT MATCHUP",IF(H10=H9,"SAME TEAM",""))))))))</f>
        <v/>
      </c>
      <c r="Z10" s="40"/>
      <c r="AA10" t="str">
        <f>IF(Y10="NO OPPONENT","",IF(Y10&lt;&gt;"",CONCATENATE("Previous Matchup Player #: ",VLOOKUP(D10,'Tournament Details'!$C:$X,22,FALSE)," - ",VLOOKUP(D10,'Tournament Details'!$C:$Y,23,FALSE)," - ",VLOOKUP(D10,'Tournament Details'!$C:$Z,24,FALSE)," - ",VLOOKUP(D10,'Tournament Details'!$C:$AA,25,FALSE)),""))</f>
        <v/>
      </c>
    </row>
    <row r="11" spans="1:27" ht="15" customHeight="1" thickBot="1" x14ac:dyDescent="0.35">
      <c r="A11" s="224" t="str">
        <f>IF('Tournament Details'!A1&gt;=1,IF(LARGE('Tournament Details'!C7:C86,1)&gt;=10,5,""),"")</f>
        <v/>
      </c>
      <c r="B11" s="42">
        <f t="shared" si="0"/>
        <v>0</v>
      </c>
      <c r="C11" s="44" t="str">
        <f t="shared" si="4"/>
        <v/>
      </c>
      <c r="D11" s="66" t="str">
        <f>IF('Tournament Details'!A1&gt;=1,IF('Tournament Details'!C15&lt;=LARGE('Round 4'!$C:$C,1),VLOOKUP(SMALL('Round 4'!$C:$C,9),'Round 4'!$C:$D,2,FALSE),""),"")</f>
        <v/>
      </c>
      <c r="E11" s="44" t="str">
        <f>IF(D11="","",B11+VLOOKUP(D11,'Round 4'!$D:$E,2,FALSE))</f>
        <v/>
      </c>
      <c r="F11" s="44" t="str">
        <f>IF(D11="","",(LARGE('Tournament Details'!$C:$C,1)+1-D11)+E11)</f>
        <v/>
      </c>
      <c r="G11" s="23" t="str">
        <f>D12</f>
        <v/>
      </c>
      <c r="H11" s="25" t="str">
        <f>IF(D11="","",IF(VLOOKUP(D11,'Tournament Details'!$C:$G,5,FALSE)="",D11,VLOOKUP(D11,'Tournament Details'!$C:$G,5,FALSE)))</f>
        <v/>
      </c>
      <c r="I11" s="7" t="str">
        <f>IF(D11=0,"",IF(VLOOKUP(D11,'Tournament Details'!$C:$E,3,FALSE)&gt;0,VLOOKUP(D11,'Tournament Details'!$C:$E,3,FALSE),""))</f>
        <v/>
      </c>
      <c r="J11" s="129"/>
      <c r="K11" s="129"/>
      <c r="L11" s="23"/>
      <c r="M11" s="23"/>
      <c r="N11" s="23"/>
      <c r="O11" s="23"/>
      <c r="P11" s="192">
        <v>0</v>
      </c>
      <c r="Q11" s="183">
        <f t="shared" si="1"/>
        <v>0</v>
      </c>
      <c r="R11" s="135" t="str">
        <f t="shared" si="2"/>
        <v/>
      </c>
      <c r="S11" s="135" t="str">
        <f>IF(Q11="","",IF(Q11+Q12&lt;&gt;20,IF(Q11+Q12&lt;&gt;0,"!",""),""))</f>
        <v/>
      </c>
      <c r="T11" s="21" t="str">
        <f t="shared" si="3"/>
        <v/>
      </c>
      <c r="U11" s="132">
        <f>IF(D11="",0,VLOOKUP(D11,'Tournament Details'!$C:$X,22,FALSE))</f>
        <v>0</v>
      </c>
      <c r="V11" s="132">
        <f>IF(D11="",0,VLOOKUP(D11,'Tournament Details'!$C:$Y,23,FALSE))</f>
        <v>0</v>
      </c>
      <c r="W11" s="132">
        <f>IF(D11="",0,VLOOKUP(D11,'Tournament Details'!$C:$Z,24,FALSE))</f>
        <v>0</v>
      </c>
      <c r="X11" s="132">
        <f>IF(D11="",0,VLOOKUP(D11,'Tournament Details'!$C:$AA,25,FALSE))</f>
        <v>0</v>
      </c>
      <c r="Y11" s="40" t="str">
        <f>IF(D11="","",IF(COUNTIF(D:D,D11)&gt;1,"DUPLICATE PLAYER",IF(D12="","NO OPPONENT",IF(D12=U11,"REPEAT MATCHUP",IF(D12=V11,"REPEAT MATCHUP",IF(D12=W11,"REPEAT MATCHUP",IF(D12=X11,"REPEAT MATCHUP",IF(H11=H12,"SAME TEAM",""))))))))</f>
        <v/>
      </c>
      <c r="Z11" s="40"/>
      <c r="AA11" t="str">
        <f>IF(Y11="NO OPPONENT","",IF(Y11&lt;&gt;"",CONCATENATE("Previous Matchup Player #: ",VLOOKUP(D11,'Tournament Details'!$C:$X,22,FALSE)," - ",VLOOKUP(D11,'Tournament Details'!$C:$Y,23,FALSE)," - ",VLOOKUP(D11,'Tournament Details'!$C:$Z,24,FALSE)," - ",VLOOKUP(D11,'Tournament Details'!$C:$AA,25,FALSE)),""))</f>
        <v/>
      </c>
    </row>
    <row r="12" spans="1:27" ht="15" customHeight="1" thickBot="1" x14ac:dyDescent="0.35">
      <c r="A12" s="224"/>
      <c r="B12" s="43">
        <f t="shared" si="0"/>
        <v>0</v>
      </c>
      <c r="C12" s="44" t="str">
        <f t="shared" si="4"/>
        <v/>
      </c>
      <c r="D12" s="74" t="str">
        <f>IF('Tournament Details'!A1&gt;=1,IF('Tournament Details'!C16&lt;=LARGE('Round 4'!$C:$C,1),VLOOKUP(SMALL('Round 4'!$C:$C,10),'Round 4'!$C:$D,2,FALSE),""),"")</f>
        <v/>
      </c>
      <c r="E12" s="44" t="str">
        <f>IF(D12="","",B12+VLOOKUP(D12,'Round 4'!$D:$E,2,FALSE))</f>
        <v/>
      </c>
      <c r="F12" s="44" t="str">
        <f>IF(D12="","",(LARGE('Tournament Details'!$C:$C,1)+1-D12)+E12)</f>
        <v/>
      </c>
      <c r="G12" s="24" t="str">
        <f>D11</f>
        <v/>
      </c>
      <c r="H12" s="26" t="str">
        <f>IF(D12="","",IF(VLOOKUP(D12,'Tournament Details'!$C:$G,5,FALSE)="",D12,VLOOKUP(D12,'Tournament Details'!$C:$G,5,FALSE)))</f>
        <v/>
      </c>
      <c r="I12" s="12" t="str">
        <f>IF(D12=0,"",IF(VLOOKUP(D12,'Tournament Details'!$C:$E,3,FALSE)&gt;0,VLOOKUP(D12,'Tournament Details'!$C:$E,3,FALSE),""))</f>
        <v/>
      </c>
      <c r="J12" s="130"/>
      <c r="K12" s="130"/>
      <c r="L12" s="23"/>
      <c r="M12" s="24"/>
      <c r="N12" s="24"/>
      <c r="O12" s="24"/>
      <c r="P12" s="193">
        <v>0</v>
      </c>
      <c r="Q12" s="183">
        <f t="shared" si="1"/>
        <v>0</v>
      </c>
      <c r="R12" s="135" t="str">
        <f t="shared" si="2"/>
        <v/>
      </c>
      <c r="S12" s="135" t="str">
        <f>IF(Q12="","",IF(Q11+Q12&lt;&gt;20,IF(Q11+Q12&lt;&gt;0,"!",""),""))</f>
        <v/>
      </c>
      <c r="T12" s="21" t="str">
        <f t="shared" si="3"/>
        <v/>
      </c>
      <c r="U12" s="132">
        <f>IF(D12="",0,VLOOKUP(D12,'Tournament Details'!$C:$X,22,FALSE))</f>
        <v>0</v>
      </c>
      <c r="V12" s="132">
        <f>IF(D12="",0,VLOOKUP(D12,'Tournament Details'!$C:$Y,23,FALSE))</f>
        <v>0</v>
      </c>
      <c r="W12" s="132">
        <f>IF(D12="",0,VLOOKUP(D12,'Tournament Details'!$C:$Z,24,FALSE))</f>
        <v>0</v>
      </c>
      <c r="X12" s="132">
        <f>IF(D12="",0,VLOOKUP(D12,'Tournament Details'!$C:$AA,25,FALSE))</f>
        <v>0</v>
      </c>
      <c r="Y12" s="40" t="str">
        <f>IF(D12="","",IF(COUNTIF(D:D,D12)&gt;1,"DUPLICATE PLAYER",IF(D11="","NO OPPONENT",IF(D11=U12,"REPEAT MATCHUP",IF(D11=V12,"REPEAT MATCHUP",IF(D11=W12,"REPEAT MATCHUP",IF(D11=X12,"REPEAT MATCHUP",IF(H12=H11,"SAME TEAM",""))))))))</f>
        <v/>
      </c>
      <c r="Z12" s="40"/>
      <c r="AA12" t="str">
        <f>IF(Y12="NO OPPONENT","",IF(Y12&lt;&gt;"",CONCATENATE("Previous Matchup Player #: ",VLOOKUP(D12,'Tournament Details'!$C:$X,22,FALSE)," - ",VLOOKUP(D12,'Tournament Details'!$C:$Y,23,FALSE)," - ",VLOOKUP(D12,'Tournament Details'!$C:$Z,24,FALSE)," - ",VLOOKUP(D12,'Tournament Details'!$C:$AA,25,FALSE)),""))</f>
        <v/>
      </c>
    </row>
    <row r="13" spans="1:27" ht="15" customHeight="1" thickBot="1" x14ac:dyDescent="0.35">
      <c r="A13" s="224" t="str">
        <f>IF('Tournament Details'!A1&gt;=1,IF(LARGE('Tournament Details'!C7:C86,1)&gt;=12,6,""),"")</f>
        <v/>
      </c>
      <c r="B13" s="42">
        <f t="shared" si="0"/>
        <v>0</v>
      </c>
      <c r="C13" s="44" t="str">
        <f t="shared" si="4"/>
        <v/>
      </c>
      <c r="D13" s="66" t="str">
        <f>IF('Tournament Details'!A1&gt;=1,IF('Tournament Details'!C17&lt;=LARGE('Round 4'!$C:$C,1),VLOOKUP(SMALL('Round 4'!$C:$C,11),'Round 4'!$C:$D,2,FALSE),""),"")</f>
        <v/>
      </c>
      <c r="E13" s="44" t="str">
        <f>IF(D13="","",B13+VLOOKUP(D13,'Round 4'!$D:$E,2,FALSE))</f>
        <v/>
      </c>
      <c r="F13" s="44" t="str">
        <f>IF(D13="","",(LARGE('Tournament Details'!$C:$C,1)+1-D13)+E13)</f>
        <v/>
      </c>
      <c r="G13" s="23" t="str">
        <f>D14</f>
        <v/>
      </c>
      <c r="H13" s="25" t="str">
        <f>IF(D13="","",IF(VLOOKUP(D13,'Tournament Details'!$C:$G,5,FALSE)="",D13,VLOOKUP(D13,'Tournament Details'!$C:$G,5,FALSE)))</f>
        <v/>
      </c>
      <c r="I13" s="7" t="str">
        <f>IF(D13=0,"",IF(VLOOKUP(D13,'Tournament Details'!$C:$E,3,FALSE)&gt;0,VLOOKUP(D13,'Tournament Details'!$C:$E,3,FALSE),""))</f>
        <v/>
      </c>
      <c r="J13" s="129"/>
      <c r="K13" s="129"/>
      <c r="L13" s="23"/>
      <c r="M13" s="23"/>
      <c r="N13" s="23"/>
      <c r="O13" s="23"/>
      <c r="P13" s="192">
        <v>0</v>
      </c>
      <c r="Q13" s="183">
        <f t="shared" si="1"/>
        <v>0</v>
      </c>
      <c r="R13" s="135" t="str">
        <f t="shared" si="2"/>
        <v/>
      </c>
      <c r="S13" s="135" t="str">
        <f>IF(Q13="","",IF(Q13+Q14&lt;&gt;20,IF(Q13+Q14&lt;&gt;0,"!",""),""))</f>
        <v/>
      </c>
      <c r="T13" s="21" t="str">
        <f t="shared" si="3"/>
        <v/>
      </c>
      <c r="U13" s="132">
        <f>IF(D13="",0,VLOOKUP(D13,'Tournament Details'!$C:$X,22,FALSE))</f>
        <v>0</v>
      </c>
      <c r="V13" s="132">
        <f>IF(D13="",0,VLOOKUP(D13,'Tournament Details'!$C:$Y,23,FALSE))</f>
        <v>0</v>
      </c>
      <c r="W13" s="132">
        <f>IF(D13="",0,VLOOKUP(D13,'Tournament Details'!$C:$Z,24,FALSE))</f>
        <v>0</v>
      </c>
      <c r="X13" s="132">
        <f>IF(D13="",0,VLOOKUP(D13,'Tournament Details'!$C:$AA,25,FALSE))</f>
        <v>0</v>
      </c>
      <c r="Y13" s="40" t="str">
        <f>IF(D13="","",IF(COUNTIF(D:D,D13)&gt;1,"DUPLICATE PLAYER",IF(D14="","NO OPPONENT",IF(D14=U13,"REPEAT MATCHUP",IF(D14=V13,"REPEAT MATCHUP",IF(D14=W13,"REPEAT MATCHUP",IF(D14=X13,"REPEAT MATCHUP",IF(H13=H14,"SAME TEAM",""))))))))</f>
        <v/>
      </c>
      <c r="Z13" s="40"/>
      <c r="AA13" t="str">
        <f>IF(Y13="NO OPPONENT","",IF(Y13&lt;&gt;"",CONCATENATE("Previous Matchup Player #: ",VLOOKUP(D13,'Tournament Details'!$C:$X,22,FALSE)," - ",VLOOKUP(D13,'Tournament Details'!$C:$Y,23,FALSE)," - ",VLOOKUP(D13,'Tournament Details'!$C:$Z,24,FALSE)," - ",VLOOKUP(D13,'Tournament Details'!$C:$AA,25,FALSE)),""))</f>
        <v/>
      </c>
    </row>
    <row r="14" spans="1:27" ht="15" customHeight="1" thickBot="1" x14ac:dyDescent="0.35">
      <c r="A14" s="224"/>
      <c r="B14" s="43">
        <f t="shared" si="0"/>
        <v>0</v>
      </c>
      <c r="C14" s="44" t="str">
        <f t="shared" si="4"/>
        <v/>
      </c>
      <c r="D14" s="74" t="str">
        <f>IF('Tournament Details'!A1&gt;=1,IF('Tournament Details'!C18&lt;=LARGE('Round 4'!$C:$C,1),VLOOKUP(SMALL('Round 4'!$C:$C,12),'Round 4'!$C:$D,2,FALSE),""),"")</f>
        <v/>
      </c>
      <c r="E14" s="44" t="str">
        <f>IF(D14="","",B14+VLOOKUP(D14,'Round 4'!$D:$E,2,FALSE))</f>
        <v/>
      </c>
      <c r="F14" s="44" t="str">
        <f>IF(D14="","",(LARGE('Tournament Details'!$C:$C,1)+1-D14)+E14)</f>
        <v/>
      </c>
      <c r="G14" s="24" t="str">
        <f>D13</f>
        <v/>
      </c>
      <c r="H14" s="26" t="str">
        <f>IF(D14="","",IF(VLOOKUP(D14,'Tournament Details'!$C:$G,5,FALSE)="",D14,VLOOKUP(D14,'Tournament Details'!$C:$G,5,FALSE)))</f>
        <v/>
      </c>
      <c r="I14" s="12" t="str">
        <f>IF(D14=0,"",IF(VLOOKUP(D14,'Tournament Details'!$C:$E,3,FALSE)&gt;0,VLOOKUP(D14,'Tournament Details'!$C:$E,3,FALSE),""))</f>
        <v/>
      </c>
      <c r="J14" s="130"/>
      <c r="K14" s="130"/>
      <c r="L14" s="23"/>
      <c r="M14" s="24"/>
      <c r="N14" s="24"/>
      <c r="O14" s="24"/>
      <c r="P14" s="193">
        <v>0</v>
      </c>
      <c r="Q14" s="183">
        <f t="shared" si="1"/>
        <v>0</v>
      </c>
      <c r="R14" s="135" t="str">
        <f t="shared" si="2"/>
        <v/>
      </c>
      <c r="S14" s="135" t="str">
        <f>IF(Q14="","",IF(Q13+Q14&lt;&gt;20,IF(Q13+Q14&lt;&gt;0,"!",""),""))</f>
        <v/>
      </c>
      <c r="T14" s="21" t="str">
        <f t="shared" si="3"/>
        <v/>
      </c>
      <c r="U14" s="132">
        <f>IF(D14="",0,VLOOKUP(D14,'Tournament Details'!$C:$X,22,FALSE))</f>
        <v>0</v>
      </c>
      <c r="V14" s="132">
        <f>IF(D14="",0,VLOOKUP(D14,'Tournament Details'!$C:$Y,23,FALSE))</f>
        <v>0</v>
      </c>
      <c r="W14" s="132">
        <f>IF(D14="",0,VLOOKUP(D14,'Tournament Details'!$C:$Z,24,FALSE))</f>
        <v>0</v>
      </c>
      <c r="X14" s="132">
        <f>IF(D14="",0,VLOOKUP(D14,'Tournament Details'!$C:$AA,25,FALSE))</f>
        <v>0</v>
      </c>
      <c r="Y14" s="40" t="str">
        <f>IF(D14="","",IF(COUNTIF(D:D,D14)&gt;1,"DUPLICATE PLAYER",IF(D13="","NO OPPONENT",IF(D13=U14,"REPEAT MATCHUP",IF(D13=V14,"REPEAT MATCHUP",IF(D13=W14,"REPEAT MATCHUP",IF(D13=X14,"REPEAT MATCHUP",IF(H14=H13,"SAME TEAM",""))))))))</f>
        <v/>
      </c>
      <c r="Z14" s="40"/>
      <c r="AA14" t="str">
        <f>IF(Y14="NO OPPONENT","",IF(Y14&lt;&gt;"",CONCATENATE("Previous Matchup Player #: ",VLOOKUP(D14,'Tournament Details'!$C:$X,22,FALSE)," - ",VLOOKUP(D14,'Tournament Details'!$C:$Y,23,FALSE)," - ",VLOOKUP(D14,'Tournament Details'!$C:$Z,24,FALSE)," - ",VLOOKUP(D14,'Tournament Details'!$C:$AA,25,FALSE)),""))</f>
        <v/>
      </c>
    </row>
    <row r="15" spans="1:27" ht="15" customHeight="1" thickBot="1" x14ac:dyDescent="0.35">
      <c r="A15" s="224" t="str">
        <f>IF('Tournament Details'!A1&gt;=1,IF(LARGE('Tournament Details'!C7:C86,1)&gt;=14,7,""),"")</f>
        <v/>
      </c>
      <c r="B15" s="42">
        <f t="shared" si="0"/>
        <v>0</v>
      </c>
      <c r="C15" s="44" t="str">
        <f t="shared" si="4"/>
        <v/>
      </c>
      <c r="D15" s="66" t="str">
        <f>IF('Tournament Details'!A1&gt;=1,IF('Tournament Details'!C19&lt;=LARGE('Round 4'!$C:$C,1),VLOOKUP(SMALL('Round 4'!$C:$C,13),'Round 4'!$C:$D,2,FALSE),""),"")</f>
        <v/>
      </c>
      <c r="E15" s="44" t="str">
        <f>IF(D15="","",B15+VLOOKUP(D15,'Round 4'!$D:$E,2,FALSE))</f>
        <v/>
      </c>
      <c r="F15" s="44" t="str">
        <f>IF(D15="","",(LARGE('Tournament Details'!$C:$C,1)+1-D15)+E15)</f>
        <v/>
      </c>
      <c r="G15" s="23" t="str">
        <f>D16</f>
        <v/>
      </c>
      <c r="H15" s="25" t="str">
        <f>IF(D15="","",IF(VLOOKUP(D15,'Tournament Details'!$C:$G,5,FALSE)="",D15,VLOOKUP(D15,'Tournament Details'!$C:$G,5,FALSE)))</f>
        <v/>
      </c>
      <c r="I15" s="7" t="str">
        <f>IF(D15=0,"",IF(VLOOKUP(D15,'Tournament Details'!$C:$E,3,FALSE)&gt;0,VLOOKUP(D15,'Tournament Details'!$C:$E,3,FALSE),""))</f>
        <v/>
      </c>
      <c r="J15" s="129"/>
      <c r="K15" s="129"/>
      <c r="L15" s="23"/>
      <c r="M15" s="23"/>
      <c r="N15" s="23"/>
      <c r="O15" s="23"/>
      <c r="P15" s="192">
        <v>0</v>
      </c>
      <c r="Q15" s="183">
        <f t="shared" si="1"/>
        <v>0</v>
      </c>
      <c r="R15" s="135" t="str">
        <f t="shared" si="2"/>
        <v/>
      </c>
      <c r="S15" s="135" t="str">
        <f>IF(Q15="","",IF(Q15+Q16&lt;&gt;20,IF(Q15+Q16&lt;&gt;0,"!",""),""))</f>
        <v/>
      </c>
      <c r="T15" s="21" t="str">
        <f t="shared" si="3"/>
        <v/>
      </c>
      <c r="U15" s="132">
        <f>IF(D15="",0,VLOOKUP(D15,'Tournament Details'!$C:$X,22,FALSE))</f>
        <v>0</v>
      </c>
      <c r="V15" s="132">
        <f>IF(D15="",0,VLOOKUP(D15,'Tournament Details'!$C:$Y,23,FALSE))</f>
        <v>0</v>
      </c>
      <c r="W15" s="132">
        <f>IF(D15="",0,VLOOKUP(D15,'Tournament Details'!$C:$Z,24,FALSE))</f>
        <v>0</v>
      </c>
      <c r="X15" s="132">
        <f>IF(D15="",0,VLOOKUP(D15,'Tournament Details'!$C:$AA,25,FALSE))</f>
        <v>0</v>
      </c>
      <c r="Y15" s="40" t="str">
        <f>IF(D15="","",IF(COUNTIF(D:D,D15)&gt;1,"DUPLICATE PLAYER",IF(D16="","NO OPPONENT",IF(D16=U15,"REPEAT MATCHUP",IF(D16=V15,"REPEAT MATCHUP",IF(D16=W15,"REPEAT MATCHUP",IF(D16=X15,"REPEAT MATCHUP",IF(H15=H16,"SAME TEAM",""))))))))</f>
        <v/>
      </c>
      <c r="Z15" s="40"/>
      <c r="AA15" t="str">
        <f>IF(Y15="NO OPPONENT","",IF(Y15&lt;&gt;"",CONCATENATE("Previous Matchup Player #: ",VLOOKUP(D15,'Tournament Details'!$C:$X,22,FALSE)," - ",VLOOKUP(D15,'Tournament Details'!$C:$Y,23,FALSE)," - ",VLOOKUP(D15,'Tournament Details'!$C:$Z,24,FALSE)," - ",VLOOKUP(D15,'Tournament Details'!$C:$AA,25,FALSE)),""))</f>
        <v/>
      </c>
    </row>
    <row r="16" spans="1:27" ht="15" customHeight="1" thickBot="1" x14ac:dyDescent="0.35">
      <c r="A16" s="224"/>
      <c r="B16" s="43">
        <f t="shared" si="0"/>
        <v>0</v>
      </c>
      <c r="C16" s="44" t="str">
        <f t="shared" si="4"/>
        <v/>
      </c>
      <c r="D16" s="74" t="str">
        <f>IF('Tournament Details'!A1&gt;=1,IF('Tournament Details'!C20&lt;=LARGE('Round 4'!$C:$C,1),VLOOKUP(SMALL('Round 4'!$C:$C,14),'Round 4'!$C:$D,2,FALSE),""),"")</f>
        <v/>
      </c>
      <c r="E16" s="44" t="str">
        <f>IF(D16="","",B16+VLOOKUP(D16,'Round 4'!$D:$E,2,FALSE))</f>
        <v/>
      </c>
      <c r="F16" s="44" t="str">
        <f>IF(D16="","",(LARGE('Tournament Details'!$C:$C,1)+1-D16)+E16)</f>
        <v/>
      </c>
      <c r="G16" s="24" t="str">
        <f>D15</f>
        <v/>
      </c>
      <c r="H16" s="26" t="str">
        <f>IF(D16="","",IF(VLOOKUP(D16,'Tournament Details'!$C:$G,5,FALSE)="",D16,VLOOKUP(D16,'Tournament Details'!$C:$G,5,FALSE)))</f>
        <v/>
      </c>
      <c r="I16" s="12" t="str">
        <f>IF(D16=0,"",IF(VLOOKUP(D16,'Tournament Details'!$C:$E,3,FALSE)&gt;0,VLOOKUP(D16,'Tournament Details'!$C:$E,3,FALSE),""))</f>
        <v/>
      </c>
      <c r="J16" s="130"/>
      <c r="K16" s="130"/>
      <c r="L16" s="23"/>
      <c r="M16" s="24"/>
      <c r="N16" s="24"/>
      <c r="O16" s="24"/>
      <c r="P16" s="193">
        <v>0</v>
      </c>
      <c r="Q16" s="183">
        <f t="shared" si="1"/>
        <v>0</v>
      </c>
      <c r="R16" s="135" t="str">
        <f t="shared" si="2"/>
        <v/>
      </c>
      <c r="S16" s="135" t="str">
        <f>IF(Q16="","",IF(Q15+Q16&lt;&gt;20,IF(Q15+Q16&lt;&gt;0,"!",""),""))</f>
        <v/>
      </c>
      <c r="T16" s="21" t="str">
        <f t="shared" si="3"/>
        <v/>
      </c>
      <c r="U16" s="132">
        <f>IF(D16="",0,VLOOKUP(D16,'Tournament Details'!$C:$X,22,FALSE))</f>
        <v>0</v>
      </c>
      <c r="V16" s="132">
        <f>IF(D16="",0,VLOOKUP(D16,'Tournament Details'!$C:$Y,23,FALSE))</f>
        <v>0</v>
      </c>
      <c r="W16" s="132">
        <f>IF(D16="",0,VLOOKUP(D16,'Tournament Details'!$C:$Z,24,FALSE))</f>
        <v>0</v>
      </c>
      <c r="X16" s="132">
        <f>IF(D16="",0,VLOOKUP(D16,'Tournament Details'!$C:$AA,25,FALSE))</f>
        <v>0</v>
      </c>
      <c r="Y16" s="40" t="str">
        <f>IF(D16="","",IF(COUNTIF(D:D,D16)&gt;1,"DUPLICATE PLAYER",IF(D15="","NO OPPONENT",IF(D15=U16,"REPEAT MATCHUP",IF(D15=V16,"REPEAT MATCHUP",IF(D15=W16,"REPEAT MATCHUP",IF(D15=X16,"REPEAT MATCHUP",IF(H16=H15,"SAME TEAM",""))))))))</f>
        <v/>
      </c>
      <c r="Z16" s="40"/>
      <c r="AA16" t="str">
        <f>IF(Y16="NO OPPONENT","",IF(Y16&lt;&gt;"",CONCATENATE("Previous Matchup Player #: ",VLOOKUP(D16,'Tournament Details'!$C:$X,22,FALSE)," - ",VLOOKUP(D16,'Tournament Details'!$C:$Y,23,FALSE)," - ",VLOOKUP(D16,'Tournament Details'!$C:$Z,24,FALSE)," - ",VLOOKUP(D16,'Tournament Details'!$C:$AA,25,FALSE)),""))</f>
        <v/>
      </c>
    </row>
    <row r="17" spans="1:27" ht="15" customHeight="1" thickBot="1" x14ac:dyDescent="0.35">
      <c r="A17" s="224" t="str">
        <f>IF('Tournament Details'!A1&gt;=1,IF(LARGE('Tournament Details'!C7:C86,1)&gt;=16,8,""),"")</f>
        <v/>
      </c>
      <c r="B17" s="42">
        <f t="shared" si="0"/>
        <v>0</v>
      </c>
      <c r="C17" s="44" t="str">
        <f t="shared" si="4"/>
        <v/>
      </c>
      <c r="D17" s="66" t="str">
        <f>IF('Tournament Details'!A1&gt;=1,IF('Tournament Details'!C21&lt;=LARGE('Round 4'!$C:$C,1),VLOOKUP(SMALL('Round 4'!$C:$C,15),'Round 4'!$C:$D,2,FALSE),""),"")</f>
        <v/>
      </c>
      <c r="E17" s="44" t="str">
        <f>IF(D17="","",B17+VLOOKUP(D17,'Round 4'!$D:$E,2,FALSE))</f>
        <v/>
      </c>
      <c r="F17" s="44" t="str">
        <f>IF(D17="","",(LARGE('Tournament Details'!$C:$C,1)+1-D17)+E17)</f>
        <v/>
      </c>
      <c r="G17" s="23" t="str">
        <f>D18</f>
        <v/>
      </c>
      <c r="H17" s="25" t="str">
        <f>IF(D17="","",IF(VLOOKUP(D17,'Tournament Details'!$C:$G,5,FALSE)="",D17,VLOOKUP(D17,'Tournament Details'!$C:$G,5,FALSE)))</f>
        <v/>
      </c>
      <c r="I17" s="7" t="str">
        <f>IF(D17=0,"",IF(VLOOKUP(D17,'Tournament Details'!$C:$E,3,FALSE)&gt;0,VLOOKUP(D17,'Tournament Details'!$C:$E,3,FALSE),""))</f>
        <v/>
      </c>
      <c r="J17" s="129"/>
      <c r="K17" s="129"/>
      <c r="L17" s="23"/>
      <c r="M17" s="23"/>
      <c r="N17" s="23"/>
      <c r="O17" s="23"/>
      <c r="P17" s="192">
        <v>0</v>
      </c>
      <c r="Q17" s="183">
        <f t="shared" si="1"/>
        <v>0</v>
      </c>
      <c r="R17" s="135" t="str">
        <f t="shared" si="2"/>
        <v/>
      </c>
      <c r="S17" s="135" t="str">
        <f>IF(Q17="","",IF(Q17+Q18&lt;&gt;20,IF(Q17+Q18&lt;&gt;0,"!",""),""))</f>
        <v/>
      </c>
      <c r="T17" s="21" t="str">
        <f t="shared" si="3"/>
        <v/>
      </c>
      <c r="U17" s="132">
        <f>IF(D17="",0,VLOOKUP(D17,'Tournament Details'!$C:$X,22,FALSE))</f>
        <v>0</v>
      </c>
      <c r="V17" s="132">
        <f>IF(D17="",0,VLOOKUP(D17,'Tournament Details'!$C:$Y,23,FALSE))</f>
        <v>0</v>
      </c>
      <c r="W17" s="132">
        <f>IF(D17="",0,VLOOKUP(D17,'Tournament Details'!$C:$Z,24,FALSE))</f>
        <v>0</v>
      </c>
      <c r="X17" s="132">
        <f>IF(D17="",0,VLOOKUP(D17,'Tournament Details'!$C:$AA,25,FALSE))</f>
        <v>0</v>
      </c>
      <c r="Y17" s="40" t="str">
        <f>IF(D17="","",IF(COUNTIF(D:D,D17)&gt;1,"DUPLICATE PLAYER",IF(D18="","NO OPPONENT",IF(D18=U17,"REPEAT MATCHUP",IF(D18=V17,"REPEAT MATCHUP",IF(D18=W17,"REPEAT MATCHUP",IF(D18=X17,"REPEAT MATCHUP",IF(H17=H18,"SAME TEAM",""))))))))</f>
        <v/>
      </c>
      <c r="Z17" s="40"/>
      <c r="AA17" t="str">
        <f>IF(Y17="NO OPPONENT","",IF(Y17&lt;&gt;"",CONCATENATE("Previous Matchup Player #: ",VLOOKUP(D17,'Tournament Details'!$C:$X,22,FALSE)," - ",VLOOKUP(D17,'Tournament Details'!$C:$Y,23,FALSE)," - ",VLOOKUP(D17,'Tournament Details'!$C:$Z,24,FALSE)," - ",VLOOKUP(D17,'Tournament Details'!$C:$AA,25,FALSE)),""))</f>
        <v/>
      </c>
    </row>
    <row r="18" spans="1:27" ht="15" customHeight="1" thickBot="1" x14ac:dyDescent="0.35">
      <c r="A18" s="224"/>
      <c r="B18" s="43">
        <f t="shared" si="0"/>
        <v>0</v>
      </c>
      <c r="C18" s="44" t="str">
        <f t="shared" si="4"/>
        <v/>
      </c>
      <c r="D18" s="74" t="str">
        <f>IF('Tournament Details'!A1&gt;=1,IF('Tournament Details'!C22&lt;=LARGE('Round 4'!$C:$C,1),VLOOKUP(SMALL('Round 4'!$C:$C,16),'Round 4'!$C:$D,2,FALSE),""),"")</f>
        <v/>
      </c>
      <c r="E18" s="44" t="str">
        <f>IF(D18="","",B18+VLOOKUP(D18,'Round 4'!$D:$E,2,FALSE))</f>
        <v/>
      </c>
      <c r="F18" s="44" t="str">
        <f>IF(D18="","",(LARGE('Tournament Details'!$C:$C,1)+1-D18)+E18)</f>
        <v/>
      </c>
      <c r="G18" s="24" t="str">
        <f>D17</f>
        <v/>
      </c>
      <c r="H18" s="26" t="str">
        <f>IF(D18="","",IF(VLOOKUP(D18,'Tournament Details'!$C:$G,5,FALSE)="",D18,VLOOKUP(D18,'Tournament Details'!$C:$G,5,FALSE)))</f>
        <v/>
      </c>
      <c r="I18" s="12" t="str">
        <f>IF(D18=0,"",IF(VLOOKUP(D18,'Tournament Details'!$C:$E,3,FALSE)&gt;0,VLOOKUP(D18,'Tournament Details'!$C:$E,3,FALSE),""))</f>
        <v/>
      </c>
      <c r="J18" s="130"/>
      <c r="K18" s="130"/>
      <c r="L18" s="23"/>
      <c r="M18" s="24"/>
      <c r="N18" s="24"/>
      <c r="O18" s="24"/>
      <c r="P18" s="193">
        <v>0</v>
      </c>
      <c r="Q18" s="183">
        <f t="shared" si="1"/>
        <v>0</v>
      </c>
      <c r="R18" s="135" t="str">
        <f t="shared" si="2"/>
        <v/>
      </c>
      <c r="S18" s="135" t="str">
        <f>IF(Q18="","",IF(Q17+Q18&lt;&gt;20,IF(Q17+Q18&lt;&gt;0,"!",""),""))</f>
        <v/>
      </c>
      <c r="T18" s="21" t="str">
        <f t="shared" si="3"/>
        <v/>
      </c>
      <c r="U18" s="132">
        <f>IF(D18="",0,VLOOKUP(D18,'Tournament Details'!$C:$X,22,FALSE))</f>
        <v>0</v>
      </c>
      <c r="V18" s="132">
        <f>IF(D18="",0,VLOOKUP(D18,'Tournament Details'!$C:$Y,23,FALSE))</f>
        <v>0</v>
      </c>
      <c r="W18" s="132">
        <f>IF(D18="",0,VLOOKUP(D18,'Tournament Details'!$C:$Z,24,FALSE))</f>
        <v>0</v>
      </c>
      <c r="X18" s="132">
        <f>IF(D18="",0,VLOOKUP(D18,'Tournament Details'!$C:$AA,25,FALSE))</f>
        <v>0</v>
      </c>
      <c r="Y18" s="40" t="str">
        <f>IF(D18="","",IF(COUNTIF(D:D,D18)&gt;1,"DUPLICATE PLAYER",IF(D17="","NO OPPONENT",IF(D17=U18,"REPEAT MATCHUP",IF(D17=V18,"REPEAT MATCHUP",IF(D17=W18,"REPEAT MATCHUP",IF(D17=X18,"REPEAT MATCHUP",IF(H18=H17,"SAME TEAM",""))))))))</f>
        <v/>
      </c>
      <c r="Z18" s="40"/>
      <c r="AA18" t="str">
        <f>IF(Y18="NO OPPONENT","",IF(Y18&lt;&gt;"",CONCATENATE("Previous Matchup Player #: ",VLOOKUP(D18,'Tournament Details'!$C:$X,22,FALSE)," - ",VLOOKUP(D18,'Tournament Details'!$C:$Y,23,FALSE)," - ",VLOOKUP(D18,'Tournament Details'!$C:$Z,24,FALSE)," - ",VLOOKUP(D18,'Tournament Details'!$C:$AA,25,FALSE)),""))</f>
        <v/>
      </c>
    </row>
    <row r="19" spans="1:27" ht="15" customHeight="1" thickBot="1" x14ac:dyDescent="0.35">
      <c r="A19" s="224" t="str">
        <f>IF('Tournament Details'!A1&gt;=1,IF(LARGE('Tournament Details'!C7:C86,1)&gt;=18,9,""),"")</f>
        <v/>
      </c>
      <c r="B19" s="42">
        <f t="shared" si="0"/>
        <v>0</v>
      </c>
      <c r="C19" s="44" t="str">
        <f t="shared" si="4"/>
        <v/>
      </c>
      <c r="D19" s="66" t="str">
        <f>IF('Tournament Details'!A1&gt;=1,IF('Tournament Details'!C23&lt;=LARGE('Round 4'!$C:$C,1),VLOOKUP(SMALL('Round 4'!$C:$C,17),'Round 4'!$C:$D,2,FALSE),""),"")</f>
        <v/>
      </c>
      <c r="E19" s="44" t="str">
        <f>IF(D19="","",B19+VLOOKUP(D19,'Round 4'!$D:$E,2,FALSE))</f>
        <v/>
      </c>
      <c r="F19" s="44" t="str">
        <f>IF(D19="","",(LARGE('Tournament Details'!$C:$C,1)+1-D19)+E19)</f>
        <v/>
      </c>
      <c r="G19" s="23" t="str">
        <f>D20</f>
        <v/>
      </c>
      <c r="H19" s="25" t="str">
        <f>IF(D19="","",IF(VLOOKUP(D19,'Tournament Details'!$C:$G,5,FALSE)="",D19,VLOOKUP(D19,'Tournament Details'!$C:$G,5,FALSE)))</f>
        <v/>
      </c>
      <c r="I19" s="7" t="str">
        <f>IF(D19=0,"",IF(VLOOKUP(D19,'Tournament Details'!$C:$E,3,FALSE)&gt;0,VLOOKUP(D19,'Tournament Details'!$C:$E,3,FALSE),""))</f>
        <v/>
      </c>
      <c r="J19" s="129"/>
      <c r="K19" s="129"/>
      <c r="L19" s="23"/>
      <c r="M19" s="23"/>
      <c r="N19" s="23"/>
      <c r="O19" s="23"/>
      <c r="P19" s="192">
        <v>0</v>
      </c>
      <c r="Q19" s="183">
        <f t="shared" si="1"/>
        <v>0</v>
      </c>
      <c r="R19" s="135" t="str">
        <f t="shared" si="2"/>
        <v/>
      </c>
      <c r="S19" s="135" t="str">
        <f>IF(Q19="","",IF(Q19+Q20&lt;&gt;20,IF(Q19+Q20&lt;&gt;0,"!",""),""))</f>
        <v/>
      </c>
      <c r="T19" s="21" t="str">
        <f t="shared" si="3"/>
        <v/>
      </c>
      <c r="U19" s="132">
        <f>IF(D19="",0,VLOOKUP(D19,'Tournament Details'!$C:$X,22,FALSE))</f>
        <v>0</v>
      </c>
      <c r="V19" s="132">
        <f>IF(D19="",0,VLOOKUP(D19,'Tournament Details'!$C:$Y,23,FALSE))</f>
        <v>0</v>
      </c>
      <c r="W19" s="132">
        <f>IF(D19="",0,VLOOKUP(D19,'Tournament Details'!$C:$Z,24,FALSE))</f>
        <v>0</v>
      </c>
      <c r="X19" s="132">
        <f>IF(D19="",0,VLOOKUP(D19,'Tournament Details'!$C:$AA,25,FALSE))</f>
        <v>0</v>
      </c>
      <c r="Y19" s="40" t="str">
        <f>IF(D19="","",IF(COUNTIF(D:D,D19)&gt;1,"DUPLICATE PLAYER",IF(D20="","NO OPPONENT",IF(D20=U19,"REPEAT MATCHUP",IF(D20=V19,"REPEAT MATCHUP",IF(D20=W19,"REPEAT MATCHUP",IF(D20=X19,"REPEAT MATCHUP",IF(H19=H20,"SAME TEAM",""))))))))</f>
        <v/>
      </c>
      <c r="Z19" s="40"/>
      <c r="AA19" t="str">
        <f>IF(Y19="NO OPPONENT","",IF(Y19&lt;&gt;"",CONCATENATE("Previous Matchup Player #: ",VLOOKUP(D19,'Tournament Details'!$C:$X,22,FALSE)," - ",VLOOKUP(D19,'Tournament Details'!$C:$Y,23,FALSE)," - ",VLOOKUP(D19,'Tournament Details'!$C:$Z,24,FALSE)," - ",VLOOKUP(D19,'Tournament Details'!$C:$AA,25,FALSE)),""))</f>
        <v/>
      </c>
    </row>
    <row r="20" spans="1:27" ht="15" customHeight="1" thickBot="1" x14ac:dyDescent="0.35">
      <c r="A20" s="224"/>
      <c r="B20" s="43">
        <f t="shared" si="0"/>
        <v>0</v>
      </c>
      <c r="C20" s="44" t="str">
        <f t="shared" si="4"/>
        <v/>
      </c>
      <c r="D20" s="74" t="str">
        <f>IF('Tournament Details'!A1&gt;=1,IF('Tournament Details'!C24&lt;=LARGE('Round 4'!$C:$C,1),VLOOKUP(SMALL('Round 4'!$C:$C,18),'Round 4'!$C:$D,2,FALSE),""),"")</f>
        <v/>
      </c>
      <c r="E20" s="44" t="str">
        <f>IF(D20="","",B20+VLOOKUP(D20,'Round 4'!$D:$E,2,FALSE))</f>
        <v/>
      </c>
      <c r="F20" s="44" t="str">
        <f>IF(D20="","",(LARGE('Tournament Details'!$C:$C,1)+1-D20)+E20)</f>
        <v/>
      </c>
      <c r="G20" s="24" t="str">
        <f>D19</f>
        <v/>
      </c>
      <c r="H20" s="26" t="str">
        <f>IF(D20="","",IF(VLOOKUP(D20,'Tournament Details'!$C:$G,5,FALSE)="",D20,VLOOKUP(D20,'Tournament Details'!$C:$G,5,FALSE)))</f>
        <v/>
      </c>
      <c r="I20" s="12" t="str">
        <f>IF(D20=0,"",IF(VLOOKUP(D20,'Tournament Details'!$C:$E,3,FALSE)&gt;0,VLOOKUP(D20,'Tournament Details'!$C:$E,3,FALSE),""))</f>
        <v/>
      </c>
      <c r="J20" s="130"/>
      <c r="K20" s="130"/>
      <c r="L20" s="23"/>
      <c r="M20" s="24"/>
      <c r="N20" s="24"/>
      <c r="O20" s="24"/>
      <c r="P20" s="193">
        <v>0</v>
      </c>
      <c r="Q20" s="183">
        <f t="shared" si="1"/>
        <v>0</v>
      </c>
      <c r="R20" s="135" t="str">
        <f t="shared" si="2"/>
        <v/>
      </c>
      <c r="S20" s="135" t="str">
        <f>IF(Q20="","",IF(Q19+Q20&lt;&gt;20,IF(Q19+Q20&lt;&gt;0,"!",""),""))</f>
        <v/>
      </c>
      <c r="T20" s="21" t="str">
        <f t="shared" si="3"/>
        <v/>
      </c>
      <c r="U20" s="132">
        <f>IF(D20="",0,VLOOKUP(D20,'Tournament Details'!$C:$X,22,FALSE))</f>
        <v>0</v>
      </c>
      <c r="V20" s="132">
        <f>IF(D20="",0,VLOOKUP(D20,'Tournament Details'!$C:$Y,23,FALSE))</f>
        <v>0</v>
      </c>
      <c r="W20" s="132">
        <f>IF(D20="",0,VLOOKUP(D20,'Tournament Details'!$C:$Z,24,FALSE))</f>
        <v>0</v>
      </c>
      <c r="X20" s="132">
        <f>IF(D20="",0,VLOOKUP(D20,'Tournament Details'!$C:$AA,25,FALSE))</f>
        <v>0</v>
      </c>
      <c r="Y20" s="40" t="str">
        <f>IF(D20="","",IF(COUNTIF(D:D,D20)&gt;1,"DUPLICATE PLAYER",IF(D19="","NO OPPONENT",IF(D19=U20,"REPEAT MATCHUP",IF(D19=V20,"REPEAT MATCHUP",IF(D19=W20,"REPEAT MATCHUP",IF(D19=X20,"REPEAT MATCHUP",IF(H20=H19,"SAME TEAM",""))))))))</f>
        <v/>
      </c>
      <c r="Z20" s="40"/>
      <c r="AA20" t="str">
        <f>IF(Y20="NO OPPONENT","",IF(Y20&lt;&gt;"",CONCATENATE("Previous Matchup Player #: ",VLOOKUP(D20,'Tournament Details'!$C:$X,22,FALSE)," - ",VLOOKUP(D20,'Tournament Details'!$C:$Y,23,FALSE)," - ",VLOOKUP(D20,'Tournament Details'!$C:$Z,24,FALSE)," - ",VLOOKUP(D20,'Tournament Details'!$C:$AA,25,FALSE)),""))</f>
        <v/>
      </c>
    </row>
    <row r="21" spans="1:27" ht="15" customHeight="1" thickBot="1" x14ac:dyDescent="0.35">
      <c r="A21" s="224" t="str">
        <f>IF('Tournament Details'!A1&gt;=1,IF(LARGE('Tournament Details'!C7:C86,1)&gt;=20,10,""),"")</f>
        <v/>
      </c>
      <c r="B21" s="42">
        <f t="shared" si="0"/>
        <v>0</v>
      </c>
      <c r="C21" s="44" t="str">
        <f t="shared" si="4"/>
        <v/>
      </c>
      <c r="D21" s="66" t="str">
        <f>IF('Tournament Details'!A1&gt;=1,IF('Tournament Details'!C25&lt;=LARGE('Round 4'!$C:$C,1),VLOOKUP(SMALL('Round 4'!$C:$C,19),'Round 4'!$C:$D,2,FALSE),""),"")</f>
        <v/>
      </c>
      <c r="E21" s="44" t="str">
        <f>IF(D21="","",B21+VLOOKUP(D21,'Round 4'!$D:$E,2,FALSE))</f>
        <v/>
      </c>
      <c r="F21" s="44" t="str">
        <f>IF(D21="","",(LARGE('Tournament Details'!$C:$C,1)+1-D21)+E21)</f>
        <v/>
      </c>
      <c r="G21" s="23" t="str">
        <f>D22</f>
        <v/>
      </c>
      <c r="H21" s="25" t="str">
        <f>IF(D21="","",IF(VLOOKUP(D21,'Tournament Details'!$C:$G,5,FALSE)="",D21,VLOOKUP(D21,'Tournament Details'!$C:$G,5,FALSE)))</f>
        <v/>
      </c>
      <c r="I21" s="7" t="str">
        <f>IF(D21=0,"",IF(VLOOKUP(D21,'Tournament Details'!$C:$E,3,FALSE)&gt;0,VLOOKUP(D21,'Tournament Details'!$C:$E,3,FALSE),""))</f>
        <v/>
      </c>
      <c r="J21" s="129"/>
      <c r="K21" s="129"/>
      <c r="L21" s="23"/>
      <c r="M21" s="23"/>
      <c r="N21" s="23"/>
      <c r="O21" s="23"/>
      <c r="P21" s="192">
        <v>0</v>
      </c>
      <c r="Q21" s="183">
        <f t="shared" si="1"/>
        <v>0</v>
      </c>
      <c r="R21" s="135" t="str">
        <f t="shared" si="2"/>
        <v/>
      </c>
      <c r="S21" s="135" t="str">
        <f>IF(Q21="","",IF(Q21+Q22&lt;&gt;20,IF(Q21+Q22&lt;&gt;0,"!",""),""))</f>
        <v/>
      </c>
      <c r="T21" s="21" t="str">
        <f t="shared" si="3"/>
        <v/>
      </c>
      <c r="U21" s="132">
        <f>IF(D21="",0,VLOOKUP(D21,'Tournament Details'!$C:$X,22,FALSE))</f>
        <v>0</v>
      </c>
      <c r="V21" s="132">
        <f>IF(D21="",0,VLOOKUP(D21,'Tournament Details'!$C:$Y,23,FALSE))</f>
        <v>0</v>
      </c>
      <c r="W21" s="132">
        <f>IF(D21="",0,VLOOKUP(D21,'Tournament Details'!$C:$Z,24,FALSE))</f>
        <v>0</v>
      </c>
      <c r="X21" s="132">
        <f>IF(D21="",0,VLOOKUP(D21,'Tournament Details'!$C:$AA,25,FALSE))</f>
        <v>0</v>
      </c>
      <c r="Y21" s="40" t="str">
        <f>IF(D21="","",IF(COUNTIF(D:D,D21)&gt;1,"DUPLICATE PLAYER",IF(D22="","NO OPPONENT",IF(D22=U21,"REPEAT MATCHUP",IF(D22=V21,"REPEAT MATCHUP",IF(D22=W21,"REPEAT MATCHUP",IF(D22=X21,"REPEAT MATCHUP",IF(H21=H22,"SAME TEAM",""))))))))</f>
        <v/>
      </c>
      <c r="Z21" s="40"/>
      <c r="AA21" t="str">
        <f>IF(Y21="NO OPPONENT","",IF(Y21&lt;&gt;"",CONCATENATE("Previous Matchup Player #: ",VLOOKUP(D21,'Tournament Details'!$C:$X,22,FALSE)," - ",VLOOKUP(D21,'Tournament Details'!$C:$Y,23,FALSE)," - ",VLOOKUP(D21,'Tournament Details'!$C:$Z,24,FALSE)," - ",VLOOKUP(D21,'Tournament Details'!$C:$AA,25,FALSE)),""))</f>
        <v/>
      </c>
    </row>
    <row r="22" spans="1:27" ht="15" customHeight="1" thickBot="1" x14ac:dyDescent="0.35">
      <c r="A22" s="224"/>
      <c r="B22" s="43">
        <f t="shared" si="0"/>
        <v>0</v>
      </c>
      <c r="C22" s="44" t="str">
        <f t="shared" si="4"/>
        <v/>
      </c>
      <c r="D22" s="74" t="str">
        <f>IF('Tournament Details'!A1&gt;=1,IF('Tournament Details'!C26&lt;=LARGE('Round 4'!$C:$C,1),VLOOKUP(SMALL('Round 4'!$C:$C,20),'Round 4'!$C:$D,2,FALSE),""),"")</f>
        <v/>
      </c>
      <c r="E22" s="44" t="str">
        <f>IF(D22="","",B22+VLOOKUP(D22,'Round 4'!$D:$E,2,FALSE))</f>
        <v/>
      </c>
      <c r="F22" s="44" t="str">
        <f>IF(D22="","",(LARGE('Tournament Details'!$C:$C,1)+1-D22)+E22)</f>
        <v/>
      </c>
      <c r="G22" s="24" t="str">
        <f>D21</f>
        <v/>
      </c>
      <c r="H22" s="26" t="str">
        <f>IF(D22="","",IF(VLOOKUP(D22,'Tournament Details'!$C:$G,5,FALSE)="",D22,VLOOKUP(D22,'Tournament Details'!$C:$G,5,FALSE)))</f>
        <v/>
      </c>
      <c r="I22" s="12" t="str">
        <f>IF(D22=0,"",IF(VLOOKUP(D22,'Tournament Details'!$C:$E,3,FALSE)&gt;0,VLOOKUP(D22,'Tournament Details'!$C:$E,3,FALSE),""))</f>
        <v/>
      </c>
      <c r="J22" s="130"/>
      <c r="K22" s="130"/>
      <c r="L22" s="23"/>
      <c r="M22" s="24"/>
      <c r="N22" s="24"/>
      <c r="O22" s="24"/>
      <c r="P22" s="193">
        <v>0</v>
      </c>
      <c r="Q22" s="183">
        <f t="shared" si="1"/>
        <v>0</v>
      </c>
      <c r="R22" s="135" t="str">
        <f t="shared" si="2"/>
        <v/>
      </c>
      <c r="S22" s="135" t="str">
        <f>IF(Q22="","",IF(Q21+Q22&lt;&gt;20,IF(Q21+Q22&lt;&gt;0,"!",""),""))</f>
        <v/>
      </c>
      <c r="T22" s="21" t="str">
        <f t="shared" si="3"/>
        <v/>
      </c>
      <c r="U22" s="132">
        <f>IF(D22="",0,VLOOKUP(D22,'Tournament Details'!$C:$X,22,FALSE))</f>
        <v>0</v>
      </c>
      <c r="V22" s="132">
        <f>IF(D22="",0,VLOOKUP(D22,'Tournament Details'!$C:$Y,23,FALSE))</f>
        <v>0</v>
      </c>
      <c r="W22" s="132">
        <f>IF(D22="",0,VLOOKUP(D22,'Tournament Details'!$C:$Z,24,FALSE))</f>
        <v>0</v>
      </c>
      <c r="X22" s="132">
        <f>IF(D22="",0,VLOOKUP(D22,'Tournament Details'!$C:$AA,25,FALSE))</f>
        <v>0</v>
      </c>
      <c r="Y22" s="40" t="str">
        <f>IF(D22="","",IF(COUNTIF(D:D,D22)&gt;1,"DUPLICATE PLAYER",IF(D21="","NO OPPONENT",IF(D21=U22,"REPEAT MATCHUP",IF(D21=V22,"REPEAT MATCHUP",IF(D21=W22,"REPEAT MATCHUP",IF(D21=X22,"REPEAT MATCHUP",IF(H22=H21,"SAME TEAM",""))))))))</f>
        <v/>
      </c>
      <c r="Z22" s="40"/>
      <c r="AA22" t="str">
        <f>IF(Y22="NO OPPONENT","",IF(Y22&lt;&gt;"",CONCATENATE("Previous Matchup Player #: ",VLOOKUP(D22,'Tournament Details'!$C:$X,22,FALSE)," - ",VLOOKUP(D22,'Tournament Details'!$C:$Y,23,FALSE)," - ",VLOOKUP(D22,'Tournament Details'!$C:$Z,24,FALSE)," - ",VLOOKUP(D22,'Tournament Details'!$C:$AA,25,FALSE)),""))</f>
        <v/>
      </c>
    </row>
    <row r="23" spans="1:27" ht="15" customHeight="1" thickBot="1" x14ac:dyDescent="0.35">
      <c r="A23" s="224" t="str">
        <f>IF('Tournament Details'!A1&gt;=1,IF(LARGE('Tournament Details'!C7:C86,1)&gt;=22,11,""),"")</f>
        <v/>
      </c>
      <c r="B23" s="42">
        <f t="shared" si="0"/>
        <v>0</v>
      </c>
      <c r="C23" s="44" t="str">
        <f t="shared" si="4"/>
        <v/>
      </c>
      <c r="D23" s="66" t="str">
        <f>IF('Tournament Details'!A1&gt;=1,IF('Tournament Details'!C27&lt;=LARGE('Round 4'!$C:$C,1),VLOOKUP(SMALL('Round 4'!$C:$C,21),'Round 4'!$C:$D,2,FALSE),""),"")</f>
        <v/>
      </c>
      <c r="E23" s="44" t="str">
        <f>IF(D23="","",B23+VLOOKUP(D23,'Round 4'!$D:$E,2,FALSE))</f>
        <v/>
      </c>
      <c r="F23" s="44" t="str">
        <f>IF(D23="","",(LARGE('Tournament Details'!$C:$C,1)+1-D23)+E23)</f>
        <v/>
      </c>
      <c r="G23" s="23" t="str">
        <f>D24</f>
        <v/>
      </c>
      <c r="H23" s="25" t="str">
        <f>IF(D23="","",IF(VLOOKUP(D23,'Tournament Details'!$C:$G,5,FALSE)="",D23,VLOOKUP(D23,'Tournament Details'!$C:$G,5,FALSE)))</f>
        <v/>
      </c>
      <c r="I23" s="7" t="str">
        <f>IF(D23=0,"",IF(VLOOKUP(D23,'Tournament Details'!$C:$E,3,FALSE)&gt;0,VLOOKUP(D23,'Tournament Details'!$C:$E,3,FALSE),""))</f>
        <v/>
      </c>
      <c r="J23" s="129"/>
      <c r="K23" s="129"/>
      <c r="L23" s="23"/>
      <c r="M23" s="23"/>
      <c r="N23" s="23"/>
      <c r="O23" s="23"/>
      <c r="P23" s="192">
        <v>0</v>
      </c>
      <c r="Q23" s="183">
        <f t="shared" si="1"/>
        <v>0</v>
      </c>
      <c r="R23" s="135" t="str">
        <f t="shared" si="2"/>
        <v/>
      </c>
      <c r="S23" s="135" t="str">
        <f>IF(Q23="","",IF(Q23+Q24&lt;&gt;20,IF(Q23+Q24&lt;&gt;0,"!",""),""))</f>
        <v/>
      </c>
      <c r="T23" s="21" t="str">
        <f t="shared" si="3"/>
        <v/>
      </c>
      <c r="U23" s="132">
        <f>IF(D23="",0,VLOOKUP(D23,'Tournament Details'!$C:$X,22,FALSE))</f>
        <v>0</v>
      </c>
      <c r="V23" s="132">
        <f>IF(D23="",0,VLOOKUP(D23,'Tournament Details'!$C:$Y,23,FALSE))</f>
        <v>0</v>
      </c>
      <c r="W23" s="132">
        <f>IF(D23="",0,VLOOKUP(D23,'Tournament Details'!$C:$Z,24,FALSE))</f>
        <v>0</v>
      </c>
      <c r="X23" s="132">
        <f>IF(D23="",0,VLOOKUP(D23,'Tournament Details'!$C:$AA,25,FALSE))</f>
        <v>0</v>
      </c>
      <c r="Y23" s="40" t="str">
        <f>IF(D23="","",IF(COUNTIF(D:D,D23)&gt;1,"DUPLICATE PLAYER",IF(D24="","NO OPPONENT",IF(D24=U23,"REPEAT MATCHUP",IF(D24=V23,"REPEAT MATCHUP",IF(D24=W23,"REPEAT MATCHUP",IF(D24=X23,"REPEAT MATCHUP",IF(H23=H24,"SAME TEAM",""))))))))</f>
        <v/>
      </c>
      <c r="Z23" s="40"/>
      <c r="AA23" t="str">
        <f>IF(Y23="NO OPPONENT","",IF(Y23&lt;&gt;"",CONCATENATE("Previous Matchup Player #: ",VLOOKUP(D23,'Tournament Details'!$C:$X,22,FALSE)," - ",VLOOKUP(D23,'Tournament Details'!$C:$Y,23,FALSE)," - ",VLOOKUP(D23,'Tournament Details'!$C:$Z,24,FALSE)," - ",VLOOKUP(D23,'Tournament Details'!$C:$AA,25,FALSE)),""))</f>
        <v/>
      </c>
    </row>
    <row r="24" spans="1:27" ht="15" customHeight="1" thickBot="1" x14ac:dyDescent="0.35">
      <c r="A24" s="224"/>
      <c r="B24" s="43">
        <f t="shared" si="0"/>
        <v>0</v>
      </c>
      <c r="C24" s="44" t="str">
        <f t="shared" si="4"/>
        <v/>
      </c>
      <c r="D24" s="74" t="str">
        <f>IF('Tournament Details'!A1&gt;=1,IF('Tournament Details'!C28&lt;=LARGE('Round 4'!$C:$C,1),VLOOKUP(SMALL('Round 4'!$C:$C,22),'Round 4'!$C:$D,2,FALSE),""),"")</f>
        <v/>
      </c>
      <c r="E24" s="44" t="str">
        <f>IF(D24="","",B24+VLOOKUP(D24,'Round 4'!$D:$E,2,FALSE))</f>
        <v/>
      </c>
      <c r="F24" s="44" t="str">
        <f>IF(D24="","",(LARGE('Tournament Details'!$C:$C,1)+1-D24)+E24)</f>
        <v/>
      </c>
      <c r="G24" s="24" t="str">
        <f>D23</f>
        <v/>
      </c>
      <c r="H24" s="26" t="str">
        <f>IF(D24="","",IF(VLOOKUP(D24,'Tournament Details'!$C:$G,5,FALSE)="",D24,VLOOKUP(D24,'Tournament Details'!$C:$G,5,FALSE)))</f>
        <v/>
      </c>
      <c r="I24" s="12" t="str">
        <f>IF(D24=0,"",IF(VLOOKUP(D24,'Tournament Details'!$C:$E,3,FALSE)&gt;0,VLOOKUP(D24,'Tournament Details'!$C:$E,3,FALSE),""))</f>
        <v/>
      </c>
      <c r="J24" s="130"/>
      <c r="K24" s="130"/>
      <c r="L24" s="23"/>
      <c r="M24" s="24"/>
      <c r="N24" s="24"/>
      <c r="O24" s="24"/>
      <c r="P24" s="193">
        <v>0</v>
      </c>
      <c r="Q24" s="183">
        <f t="shared" si="1"/>
        <v>0</v>
      </c>
      <c r="R24" s="135" t="str">
        <f t="shared" si="2"/>
        <v/>
      </c>
      <c r="S24" s="135" t="str">
        <f>IF(Q24="","",IF(Q23+Q24&lt;&gt;20,IF(Q23+Q24&lt;&gt;0,"!",""),""))</f>
        <v/>
      </c>
      <c r="T24" s="21" t="str">
        <f t="shared" si="3"/>
        <v/>
      </c>
      <c r="U24" s="132">
        <f>IF(D24="",0,VLOOKUP(D24,'Tournament Details'!$C:$X,22,FALSE))</f>
        <v>0</v>
      </c>
      <c r="V24" s="132">
        <f>IF(D24="",0,VLOOKUP(D24,'Tournament Details'!$C:$Y,23,FALSE))</f>
        <v>0</v>
      </c>
      <c r="W24" s="132">
        <f>IF(D24="",0,VLOOKUP(D24,'Tournament Details'!$C:$Z,24,FALSE))</f>
        <v>0</v>
      </c>
      <c r="X24" s="132">
        <f>IF(D24="",0,VLOOKUP(D24,'Tournament Details'!$C:$AA,25,FALSE))</f>
        <v>0</v>
      </c>
      <c r="Y24" s="40" t="str">
        <f>IF(D24="","",IF(COUNTIF(D:D,D24)&gt;1,"DUPLICATE PLAYER",IF(D23="","NO OPPONENT",IF(D23=U24,"REPEAT MATCHUP",IF(D23=V24,"REPEAT MATCHUP",IF(D23=W24,"REPEAT MATCHUP",IF(D23=X24,"REPEAT MATCHUP",IF(H24=H23,"SAME TEAM",""))))))))</f>
        <v/>
      </c>
      <c r="Z24" s="40"/>
      <c r="AA24" t="str">
        <f>IF(Y24="NO OPPONENT","",IF(Y24&lt;&gt;"",CONCATENATE("Previous Matchup Player #: ",VLOOKUP(D24,'Tournament Details'!$C:$X,22,FALSE)," - ",VLOOKUP(D24,'Tournament Details'!$C:$Y,23,FALSE)," - ",VLOOKUP(D24,'Tournament Details'!$C:$Z,24,FALSE)," - ",VLOOKUP(D24,'Tournament Details'!$C:$AA,25,FALSE)),""))</f>
        <v/>
      </c>
    </row>
    <row r="25" spans="1:27" ht="15" customHeight="1" thickBot="1" x14ac:dyDescent="0.35">
      <c r="A25" s="224" t="str">
        <f>IF('Tournament Details'!A1&gt;=1,IF(LARGE('Tournament Details'!C7:C86,1)&gt;=24,12,""),"")</f>
        <v/>
      </c>
      <c r="B25" s="42">
        <f t="shared" si="0"/>
        <v>0</v>
      </c>
      <c r="C25" s="44" t="str">
        <f t="shared" si="4"/>
        <v/>
      </c>
      <c r="D25" s="66" t="str">
        <f>IF('Tournament Details'!A1&gt;=1,IF('Tournament Details'!C29&lt;=LARGE('Round 4'!$C:$C,1),VLOOKUP(SMALL('Round 4'!$C:$C,23),'Round 4'!$C:$D,2,FALSE),""),"")</f>
        <v/>
      </c>
      <c r="E25" s="44" t="str">
        <f>IF(D25="","",B25+VLOOKUP(D25,'Round 4'!$D:$E,2,FALSE))</f>
        <v/>
      </c>
      <c r="F25" s="44" t="str">
        <f>IF(D25="","",(LARGE('Tournament Details'!$C:$C,1)+1-D25)+E25)</f>
        <v/>
      </c>
      <c r="G25" s="23" t="str">
        <f>D26</f>
        <v/>
      </c>
      <c r="H25" s="25" t="str">
        <f>IF(D25="","",IF(VLOOKUP(D25,'Tournament Details'!$C:$G,5,FALSE)="",D25,VLOOKUP(D25,'Tournament Details'!$C:$G,5,FALSE)))</f>
        <v/>
      </c>
      <c r="I25" s="7" t="str">
        <f>IF(D25=0,"",IF(VLOOKUP(D25,'Tournament Details'!$C:$E,3,FALSE)&gt;0,VLOOKUP(D25,'Tournament Details'!$C:$E,3,FALSE),""))</f>
        <v/>
      </c>
      <c r="J25" s="129"/>
      <c r="K25" s="129"/>
      <c r="L25" s="23"/>
      <c r="M25" s="23"/>
      <c r="N25" s="23"/>
      <c r="O25" s="23"/>
      <c r="P25" s="192">
        <v>0</v>
      </c>
      <c r="Q25" s="183">
        <f t="shared" si="1"/>
        <v>0</v>
      </c>
      <c r="R25" s="135" t="str">
        <f t="shared" si="2"/>
        <v/>
      </c>
      <c r="S25" s="135" t="str">
        <f>IF(Q25="","",IF(Q25+Q26&lt;&gt;20,IF(Q25+Q26&lt;&gt;0,"!",""),""))</f>
        <v/>
      </c>
      <c r="T25" s="21" t="str">
        <f t="shared" si="3"/>
        <v/>
      </c>
      <c r="U25" s="132">
        <f>IF(D25="",0,VLOOKUP(D25,'Tournament Details'!$C:$X,22,FALSE))</f>
        <v>0</v>
      </c>
      <c r="V25" s="132">
        <f>IF(D25="",0,VLOOKUP(D25,'Tournament Details'!$C:$Y,23,FALSE))</f>
        <v>0</v>
      </c>
      <c r="W25" s="132">
        <f>IF(D25="",0,VLOOKUP(D25,'Tournament Details'!$C:$Z,24,FALSE))</f>
        <v>0</v>
      </c>
      <c r="X25" s="132">
        <f>IF(D25="",0,VLOOKUP(D25,'Tournament Details'!$C:$AA,25,FALSE))</f>
        <v>0</v>
      </c>
      <c r="Y25" s="40" t="str">
        <f>IF(D25="","",IF(COUNTIF(D:D,D25)&gt;1,"DUPLICATE PLAYER",IF(D26="","NO OPPONENT",IF(D26=U25,"REPEAT MATCHUP",IF(D26=V25,"REPEAT MATCHUP",IF(D26=W25,"REPEAT MATCHUP",IF(D26=X25,"REPEAT MATCHUP",IF(H25=H26,"SAME TEAM",""))))))))</f>
        <v/>
      </c>
      <c r="Z25" s="40"/>
      <c r="AA25" t="str">
        <f>IF(Y25="NO OPPONENT","",IF(Y25&lt;&gt;"",CONCATENATE("Previous Matchup Player #: ",VLOOKUP(D25,'Tournament Details'!$C:$X,22,FALSE)," - ",VLOOKUP(D25,'Tournament Details'!$C:$Y,23,FALSE)," - ",VLOOKUP(D25,'Tournament Details'!$C:$Z,24,FALSE)," - ",VLOOKUP(D25,'Tournament Details'!$C:$AA,25,FALSE)),""))</f>
        <v/>
      </c>
    </row>
    <row r="26" spans="1:27" ht="15" customHeight="1" thickBot="1" x14ac:dyDescent="0.35">
      <c r="A26" s="224"/>
      <c r="B26" s="43">
        <f t="shared" si="0"/>
        <v>0</v>
      </c>
      <c r="C26" s="44" t="str">
        <f t="shared" si="4"/>
        <v/>
      </c>
      <c r="D26" s="74" t="str">
        <f>IF('Tournament Details'!A1&gt;=1,IF('Tournament Details'!C30&lt;=LARGE('Round 4'!$C:$C,1),VLOOKUP(SMALL('Round 4'!$C:$C,24),'Round 4'!$C:$D,2,FALSE),""),"")</f>
        <v/>
      </c>
      <c r="E26" s="44" t="str">
        <f>IF(D26="","",B26+VLOOKUP(D26,'Round 4'!$D:$E,2,FALSE))</f>
        <v/>
      </c>
      <c r="F26" s="44" t="str">
        <f>IF(D26="","",(LARGE('Tournament Details'!$C:$C,1)+1-D26)+E26)</f>
        <v/>
      </c>
      <c r="G26" s="24" t="str">
        <f>D25</f>
        <v/>
      </c>
      <c r="H26" s="26" t="str">
        <f>IF(D26="","",IF(VLOOKUP(D26,'Tournament Details'!$C:$G,5,FALSE)="",D26,VLOOKUP(D26,'Tournament Details'!$C:$G,5,FALSE)))</f>
        <v/>
      </c>
      <c r="I26" s="12" t="str">
        <f>IF(D26=0,"",IF(VLOOKUP(D26,'Tournament Details'!$C:$E,3,FALSE)&gt;0,VLOOKUP(D26,'Tournament Details'!$C:$E,3,FALSE),""))</f>
        <v/>
      </c>
      <c r="J26" s="130"/>
      <c r="K26" s="130"/>
      <c r="L26" s="23"/>
      <c r="M26" s="24"/>
      <c r="N26" s="24"/>
      <c r="O26" s="24"/>
      <c r="P26" s="193">
        <v>0</v>
      </c>
      <c r="Q26" s="183">
        <f t="shared" si="1"/>
        <v>0</v>
      </c>
      <c r="R26" s="135" t="str">
        <f t="shared" si="2"/>
        <v/>
      </c>
      <c r="S26" s="135" t="str">
        <f>IF(Q26="","",IF(Q25+Q26&lt;&gt;20,IF(Q25+Q26&lt;&gt;0,"!",""),""))</f>
        <v/>
      </c>
      <c r="T26" s="21" t="str">
        <f t="shared" si="3"/>
        <v/>
      </c>
      <c r="U26" s="132">
        <f>IF(D26="",0,VLOOKUP(D26,'Tournament Details'!$C:$X,22,FALSE))</f>
        <v>0</v>
      </c>
      <c r="V26" s="132">
        <f>IF(D26="",0,VLOOKUP(D26,'Tournament Details'!$C:$Y,23,FALSE))</f>
        <v>0</v>
      </c>
      <c r="W26" s="132">
        <f>IF(D26="",0,VLOOKUP(D26,'Tournament Details'!$C:$Z,24,FALSE))</f>
        <v>0</v>
      </c>
      <c r="X26" s="132">
        <f>IF(D26="",0,VLOOKUP(D26,'Tournament Details'!$C:$AA,25,FALSE))</f>
        <v>0</v>
      </c>
      <c r="Y26" s="40" t="str">
        <f>IF(D26="","",IF(COUNTIF(D:D,D26)&gt;1,"DUPLICATE PLAYER",IF(D25="","NO OPPONENT",IF(D25=U26,"REPEAT MATCHUP",IF(D25=V26,"REPEAT MATCHUP",IF(D25=W26,"REPEAT MATCHUP",IF(D25=X26,"REPEAT MATCHUP",IF(H26=H25,"SAME TEAM",""))))))))</f>
        <v/>
      </c>
      <c r="Z26" s="40"/>
      <c r="AA26" t="str">
        <f>IF(Y26="NO OPPONENT","",IF(Y26&lt;&gt;"",CONCATENATE("Previous Matchup Player #: ",VLOOKUP(D26,'Tournament Details'!$C:$X,22,FALSE)," - ",VLOOKUP(D26,'Tournament Details'!$C:$Y,23,FALSE)," - ",VLOOKUP(D26,'Tournament Details'!$C:$Z,24,FALSE)," - ",VLOOKUP(D26,'Tournament Details'!$C:$AA,25,FALSE)),""))</f>
        <v/>
      </c>
    </row>
    <row r="27" spans="1:27" ht="15" customHeight="1" thickBot="1" x14ac:dyDescent="0.35">
      <c r="A27" s="224" t="str">
        <f>IF('Tournament Details'!A1&gt;=1,IF(LARGE('Tournament Details'!C7:C86,1)&gt;=26,13,""),"")</f>
        <v/>
      </c>
      <c r="B27" s="42">
        <f t="shared" si="0"/>
        <v>0</v>
      </c>
      <c r="C27" s="44" t="str">
        <f t="shared" si="4"/>
        <v/>
      </c>
      <c r="D27" s="66" t="str">
        <f>IF('Tournament Details'!A1&gt;=1,IF('Tournament Details'!C31&lt;=LARGE('Round 4'!$C:$C,1),VLOOKUP(SMALL('Round 4'!$C:$C,25),'Round 4'!$C:$D,2,FALSE),""),"")</f>
        <v/>
      </c>
      <c r="E27" s="44" t="str">
        <f>IF(D27="","",B27+VLOOKUP(D27,'Round 4'!$D:$E,2,FALSE))</f>
        <v/>
      </c>
      <c r="F27" s="44" t="str">
        <f>IF(D27="","",(LARGE('Tournament Details'!$C:$C,1)+1-D27)+E27)</f>
        <v/>
      </c>
      <c r="G27" s="23" t="str">
        <f>D28</f>
        <v/>
      </c>
      <c r="H27" s="25" t="str">
        <f>IF(D27="","",IF(VLOOKUP(D27,'Tournament Details'!$C:$G,5,FALSE)="",D27,VLOOKUP(D27,'Tournament Details'!$C:$G,5,FALSE)))</f>
        <v/>
      </c>
      <c r="I27" s="7" t="str">
        <f>IF(D27=0,"",IF(VLOOKUP(D27,'Tournament Details'!$C:$E,3,FALSE)&gt;0,VLOOKUP(D27,'Tournament Details'!$C:$E,3,FALSE),""))</f>
        <v/>
      </c>
      <c r="J27" s="129"/>
      <c r="K27" s="129"/>
      <c r="L27" s="23"/>
      <c r="M27" s="23"/>
      <c r="N27" s="23"/>
      <c r="O27" s="23"/>
      <c r="P27" s="192">
        <v>0</v>
      </c>
      <c r="Q27" s="183">
        <f t="shared" si="1"/>
        <v>0</v>
      </c>
      <c r="R27" s="135" t="str">
        <f t="shared" si="2"/>
        <v/>
      </c>
      <c r="S27" s="135" t="str">
        <f>IF(Q27="","",IF(Q27+Q28&lt;&gt;20,IF(Q27+Q28&lt;&gt;0,"!",""),""))</f>
        <v/>
      </c>
      <c r="T27" s="21" t="str">
        <f t="shared" si="3"/>
        <v/>
      </c>
      <c r="U27" s="132">
        <f>IF(D27="",0,VLOOKUP(D27,'Tournament Details'!$C:$X,22,FALSE))</f>
        <v>0</v>
      </c>
      <c r="V27" s="132">
        <f>IF(D27="",0,VLOOKUP(D27,'Tournament Details'!$C:$Y,23,FALSE))</f>
        <v>0</v>
      </c>
      <c r="W27" s="132">
        <f>IF(D27="",0,VLOOKUP(D27,'Tournament Details'!$C:$Z,24,FALSE))</f>
        <v>0</v>
      </c>
      <c r="X27" s="132">
        <f>IF(D27="",0,VLOOKUP(D27,'Tournament Details'!$C:$AA,25,FALSE))</f>
        <v>0</v>
      </c>
      <c r="Y27" s="40" t="str">
        <f>IF(D27="","",IF(COUNTIF(D:D,D27)&gt;1,"DUPLICATE PLAYER",IF(D28="","NO OPPONENT",IF(D28=U27,"REPEAT MATCHUP",IF(D28=V27,"REPEAT MATCHUP",IF(D28=W27,"REPEAT MATCHUP",IF(D28=X27,"REPEAT MATCHUP",IF(H27=H28,"SAME TEAM",""))))))))</f>
        <v/>
      </c>
      <c r="Z27" s="40"/>
      <c r="AA27" t="str">
        <f>IF(Y27="NO OPPONENT","",IF(Y27&lt;&gt;"",CONCATENATE("Previous Matchup Player #: ",VLOOKUP(D27,'Tournament Details'!$C:$X,22,FALSE)," - ",VLOOKUP(D27,'Tournament Details'!$C:$Y,23,FALSE)," - ",VLOOKUP(D27,'Tournament Details'!$C:$Z,24,FALSE)," - ",VLOOKUP(D27,'Tournament Details'!$C:$AA,25,FALSE)),""))</f>
        <v/>
      </c>
    </row>
    <row r="28" spans="1:27" ht="15" customHeight="1" thickBot="1" x14ac:dyDescent="0.35">
      <c r="A28" s="224"/>
      <c r="B28" s="43">
        <f t="shared" si="0"/>
        <v>0</v>
      </c>
      <c r="C28" s="44" t="str">
        <f t="shared" si="4"/>
        <v/>
      </c>
      <c r="D28" s="74" t="str">
        <f>IF('Tournament Details'!A1&gt;=1,IF('Tournament Details'!C32&lt;=LARGE('Round 4'!$C:$C,1),VLOOKUP(SMALL('Round 4'!$C:$C,26),'Round 4'!$C:$D,2,FALSE),""),"")</f>
        <v/>
      </c>
      <c r="E28" s="44" t="str">
        <f>IF(D28="","",B28+VLOOKUP(D28,'Round 4'!$D:$E,2,FALSE))</f>
        <v/>
      </c>
      <c r="F28" s="44" t="str">
        <f>IF(D28="","",(LARGE('Tournament Details'!$C:$C,1)+1-D28)+E28)</f>
        <v/>
      </c>
      <c r="G28" s="24" t="str">
        <f>D27</f>
        <v/>
      </c>
      <c r="H28" s="26" t="str">
        <f>IF(D28="","",IF(VLOOKUP(D28,'Tournament Details'!$C:$G,5,FALSE)="",D28,VLOOKUP(D28,'Tournament Details'!$C:$G,5,FALSE)))</f>
        <v/>
      </c>
      <c r="I28" s="12" t="str">
        <f>IF(D28=0,"",IF(VLOOKUP(D28,'Tournament Details'!$C:$E,3,FALSE)&gt;0,VLOOKUP(D28,'Tournament Details'!$C:$E,3,FALSE),""))</f>
        <v/>
      </c>
      <c r="J28" s="130"/>
      <c r="K28" s="130"/>
      <c r="L28" s="23"/>
      <c r="M28" s="24"/>
      <c r="N28" s="24"/>
      <c r="O28" s="24"/>
      <c r="P28" s="193">
        <v>0</v>
      </c>
      <c r="Q28" s="183">
        <f t="shared" si="1"/>
        <v>0</v>
      </c>
      <c r="R28" s="135" t="str">
        <f t="shared" si="2"/>
        <v/>
      </c>
      <c r="S28" s="135" t="str">
        <f>IF(Q28="","",IF(Q27+Q28&lt;&gt;20,IF(Q27+Q28&lt;&gt;0,"!",""),""))</f>
        <v/>
      </c>
      <c r="T28" s="21" t="str">
        <f t="shared" si="3"/>
        <v/>
      </c>
      <c r="U28" s="132">
        <f>IF(D28="",0,VLOOKUP(D28,'Tournament Details'!$C:$X,22,FALSE))</f>
        <v>0</v>
      </c>
      <c r="V28" s="132">
        <f>IF(D28="",0,VLOOKUP(D28,'Tournament Details'!$C:$Y,23,FALSE))</f>
        <v>0</v>
      </c>
      <c r="W28" s="132">
        <f>IF(D28="",0,VLOOKUP(D28,'Tournament Details'!$C:$Z,24,FALSE))</f>
        <v>0</v>
      </c>
      <c r="X28" s="132">
        <f>IF(D28="",0,VLOOKUP(D28,'Tournament Details'!$C:$AA,25,FALSE))</f>
        <v>0</v>
      </c>
      <c r="Y28" s="40" t="str">
        <f>IF(D28="","",IF(COUNTIF(D:D,D28)&gt;1,"DUPLICATE PLAYER",IF(D27="","NO OPPONENT",IF(D27=U28,"REPEAT MATCHUP",IF(D27=V28,"REPEAT MATCHUP",IF(D27=W28,"REPEAT MATCHUP",IF(D27=X28,"REPEAT MATCHUP",IF(H28=H27,"SAME TEAM",""))))))))</f>
        <v/>
      </c>
      <c r="Z28" s="40"/>
      <c r="AA28" t="str">
        <f>IF(Y28="NO OPPONENT","",IF(Y28&lt;&gt;"",CONCATENATE("Previous Matchup Player #: ",VLOOKUP(D28,'Tournament Details'!$C:$X,22,FALSE)," - ",VLOOKUP(D28,'Tournament Details'!$C:$Y,23,FALSE)," - ",VLOOKUP(D28,'Tournament Details'!$C:$Z,24,FALSE)," - ",VLOOKUP(D28,'Tournament Details'!$C:$AA,25,FALSE)),""))</f>
        <v/>
      </c>
    </row>
    <row r="29" spans="1:27" ht="15" customHeight="1" thickBot="1" x14ac:dyDescent="0.35">
      <c r="A29" s="224" t="str">
        <f>IF('Tournament Details'!A1&gt;=1,IF(LARGE('Tournament Details'!C7:C86,1)&gt;=28,14,""),"")</f>
        <v/>
      </c>
      <c r="B29" s="42">
        <f t="shared" si="0"/>
        <v>0</v>
      </c>
      <c r="C29" s="44" t="str">
        <f t="shared" si="4"/>
        <v/>
      </c>
      <c r="D29" s="66" t="str">
        <f>IF('Tournament Details'!A1&gt;=1,IF('Tournament Details'!C33&lt;=LARGE('Round 4'!$C:$C,1),VLOOKUP(SMALL('Round 4'!$C:$C,27),'Round 4'!$C:$D,2,FALSE),""),"")</f>
        <v/>
      </c>
      <c r="E29" s="44" t="str">
        <f>IF(D29="","",B29+VLOOKUP(D29,'Round 4'!$D:$E,2,FALSE))</f>
        <v/>
      </c>
      <c r="F29" s="44" t="str">
        <f>IF(D29="","",(LARGE('Tournament Details'!$C:$C,1)+1-D29)+E29)</f>
        <v/>
      </c>
      <c r="G29" s="23" t="str">
        <f>D30</f>
        <v/>
      </c>
      <c r="H29" s="25" t="str">
        <f>IF(D29="","",IF(VLOOKUP(D29,'Tournament Details'!$C:$G,5,FALSE)="",D29,VLOOKUP(D29,'Tournament Details'!$C:$G,5,FALSE)))</f>
        <v/>
      </c>
      <c r="I29" s="7" t="str">
        <f>IF(D29=0,"",IF(VLOOKUP(D29,'Tournament Details'!$C:$E,3,FALSE)&gt;0,VLOOKUP(D29,'Tournament Details'!$C:$E,3,FALSE),""))</f>
        <v/>
      </c>
      <c r="J29" s="129"/>
      <c r="K29" s="129"/>
      <c r="L29" s="23"/>
      <c r="M29" s="23"/>
      <c r="N29" s="23"/>
      <c r="O29" s="23"/>
      <c r="P29" s="192">
        <v>0</v>
      </c>
      <c r="Q29" s="183">
        <f t="shared" si="1"/>
        <v>0</v>
      </c>
      <c r="R29" s="135" t="str">
        <f t="shared" si="2"/>
        <v/>
      </c>
      <c r="S29" s="135" t="str">
        <f>IF(Q29="","",IF(Q29+Q30&lt;&gt;20,IF(Q29+Q30&lt;&gt;0,"!",""),""))</f>
        <v/>
      </c>
      <c r="T29" s="21" t="str">
        <f t="shared" si="3"/>
        <v/>
      </c>
      <c r="U29" s="132">
        <f>IF(D29="",0,VLOOKUP(D29,'Tournament Details'!$C:$X,22,FALSE))</f>
        <v>0</v>
      </c>
      <c r="V29" s="132">
        <f>IF(D29="",0,VLOOKUP(D29,'Tournament Details'!$C:$Y,23,FALSE))</f>
        <v>0</v>
      </c>
      <c r="W29" s="132">
        <f>IF(D29="",0,VLOOKUP(D29,'Tournament Details'!$C:$Z,24,FALSE))</f>
        <v>0</v>
      </c>
      <c r="X29" s="132">
        <f>IF(D29="",0,VLOOKUP(D29,'Tournament Details'!$C:$AA,25,FALSE))</f>
        <v>0</v>
      </c>
      <c r="Y29" s="40" t="str">
        <f>IF(D29="","",IF(COUNTIF(D:D,D29)&gt;1,"DUPLICATE PLAYER",IF(D30="","NO OPPONENT",IF(D30=U29,"REPEAT MATCHUP",IF(D30=V29,"REPEAT MATCHUP",IF(D30=W29,"REPEAT MATCHUP",IF(D30=X29,"REPEAT MATCHUP",IF(H29=H30,"SAME TEAM",""))))))))</f>
        <v/>
      </c>
      <c r="Z29" s="40"/>
      <c r="AA29" t="str">
        <f>IF(Y29="NO OPPONENT","",IF(Y29&lt;&gt;"",CONCATENATE("Previous Matchup Player #: ",VLOOKUP(D29,'Tournament Details'!$C:$X,22,FALSE)," - ",VLOOKUP(D29,'Tournament Details'!$C:$Y,23,FALSE)," - ",VLOOKUP(D29,'Tournament Details'!$C:$Z,24,FALSE)," - ",VLOOKUP(D29,'Tournament Details'!$C:$AA,25,FALSE)),""))</f>
        <v/>
      </c>
    </row>
    <row r="30" spans="1:27" ht="15" customHeight="1" thickBot="1" x14ac:dyDescent="0.35">
      <c r="A30" s="224"/>
      <c r="B30" s="43">
        <f t="shared" si="0"/>
        <v>0</v>
      </c>
      <c r="C30" s="44" t="str">
        <f t="shared" si="4"/>
        <v/>
      </c>
      <c r="D30" s="74" t="str">
        <f>IF('Tournament Details'!A1&gt;=1,IF('Tournament Details'!C34&lt;=LARGE('Round 4'!$C:$C,1),VLOOKUP(SMALL('Round 4'!$C:$C,28),'Round 4'!$C:$D,2,FALSE),""),"")</f>
        <v/>
      </c>
      <c r="E30" s="44" t="str">
        <f>IF(D30="","",B30+VLOOKUP(D30,'Round 4'!$D:$E,2,FALSE))</f>
        <v/>
      </c>
      <c r="F30" s="44" t="str">
        <f>IF(D30="","",(LARGE('Tournament Details'!$C:$C,1)+1-D30)+E30)</f>
        <v/>
      </c>
      <c r="G30" s="24" t="str">
        <f>D29</f>
        <v/>
      </c>
      <c r="H30" s="26" t="str">
        <f>IF(D30="","",IF(VLOOKUP(D30,'Tournament Details'!$C:$G,5,FALSE)="",D30,VLOOKUP(D30,'Tournament Details'!$C:$G,5,FALSE)))</f>
        <v/>
      </c>
      <c r="I30" s="12" t="str">
        <f>IF(D30=0,"",IF(VLOOKUP(D30,'Tournament Details'!$C:$E,3,FALSE)&gt;0,VLOOKUP(D30,'Tournament Details'!$C:$E,3,FALSE),""))</f>
        <v/>
      </c>
      <c r="J30" s="130"/>
      <c r="K30" s="130"/>
      <c r="L30" s="23"/>
      <c r="M30" s="24"/>
      <c r="N30" s="24"/>
      <c r="O30" s="24"/>
      <c r="P30" s="193">
        <v>0</v>
      </c>
      <c r="Q30" s="183">
        <f t="shared" si="1"/>
        <v>0</v>
      </c>
      <c r="R30" s="135" t="str">
        <f t="shared" si="2"/>
        <v/>
      </c>
      <c r="S30" s="135" t="str">
        <f>IF(Q30="","",IF(Q29+Q30&lt;&gt;20,IF(Q29+Q30&lt;&gt;0,"!",""),""))</f>
        <v/>
      </c>
      <c r="T30" s="21" t="str">
        <f t="shared" si="3"/>
        <v/>
      </c>
      <c r="U30" s="132">
        <f>IF(D30="",0,VLOOKUP(D30,'Tournament Details'!$C:$X,22,FALSE))</f>
        <v>0</v>
      </c>
      <c r="V30" s="132">
        <f>IF(D30="",0,VLOOKUP(D30,'Tournament Details'!$C:$Y,23,FALSE))</f>
        <v>0</v>
      </c>
      <c r="W30" s="132">
        <f>IF(D30="",0,VLOOKUP(D30,'Tournament Details'!$C:$Z,24,FALSE))</f>
        <v>0</v>
      </c>
      <c r="X30" s="132">
        <f>IF(D30="",0,VLOOKUP(D30,'Tournament Details'!$C:$AA,25,FALSE))</f>
        <v>0</v>
      </c>
      <c r="Y30" s="40" t="str">
        <f>IF(D30="","",IF(COUNTIF(D:D,D30)&gt;1,"DUPLICATE PLAYER",IF(D29="","NO OPPONENT",IF(D29=U30,"REPEAT MATCHUP",IF(D29=V30,"REPEAT MATCHUP",IF(D29=W30,"REPEAT MATCHUP",IF(D29=X30,"REPEAT MATCHUP",IF(H30=H29,"SAME TEAM",""))))))))</f>
        <v/>
      </c>
      <c r="Z30" s="40"/>
      <c r="AA30" t="str">
        <f>IF(Y30="NO OPPONENT","",IF(Y30&lt;&gt;"",CONCATENATE("Previous Matchup Player #: ",VLOOKUP(D30,'Tournament Details'!$C:$X,22,FALSE)," - ",VLOOKUP(D30,'Tournament Details'!$C:$Y,23,FALSE)," - ",VLOOKUP(D30,'Tournament Details'!$C:$Z,24,FALSE)," - ",VLOOKUP(D30,'Tournament Details'!$C:$AA,25,FALSE)),""))</f>
        <v/>
      </c>
    </row>
    <row r="31" spans="1:27" ht="15" customHeight="1" thickBot="1" x14ac:dyDescent="0.35">
      <c r="A31" s="224" t="str">
        <f>IF('Tournament Details'!A1&gt;=1,IF(LARGE('Tournament Details'!C7:C86,1)&gt;=30,15,""),"")</f>
        <v/>
      </c>
      <c r="B31" s="42">
        <f t="shared" si="0"/>
        <v>0</v>
      </c>
      <c r="C31" s="44" t="str">
        <f t="shared" si="4"/>
        <v/>
      </c>
      <c r="D31" s="66" t="str">
        <f>IF('Tournament Details'!A1&gt;=1,IF('Tournament Details'!C35&lt;=LARGE('Round 4'!$C:$C,1),VLOOKUP(SMALL('Round 4'!$C:$C,29),'Round 4'!$C:$D,2,FALSE),""),"")</f>
        <v/>
      </c>
      <c r="E31" s="44" t="str">
        <f>IF(D31="","",B31+VLOOKUP(D31,'Round 4'!$D:$E,2,FALSE))</f>
        <v/>
      </c>
      <c r="F31" s="44" t="str">
        <f>IF(D31="","",(LARGE('Tournament Details'!$C:$C,1)+1-D31)+E31)</f>
        <v/>
      </c>
      <c r="G31" s="23" t="str">
        <f>D32</f>
        <v/>
      </c>
      <c r="H31" s="25" t="str">
        <f>IF(D31="","",IF(VLOOKUP(D31,'Tournament Details'!$C:$G,5,FALSE)="",D31,VLOOKUP(D31,'Tournament Details'!$C:$G,5,FALSE)))</f>
        <v/>
      </c>
      <c r="I31" s="7" t="str">
        <f>IF(D31=0,"",IF(VLOOKUP(D31,'Tournament Details'!$C:$E,3,FALSE)&gt;0,VLOOKUP(D31,'Tournament Details'!$C:$E,3,FALSE),""))</f>
        <v/>
      </c>
      <c r="J31" s="129"/>
      <c r="K31" s="129"/>
      <c r="L31" s="23"/>
      <c r="M31" s="23"/>
      <c r="N31" s="23"/>
      <c r="O31" s="23"/>
      <c r="P31" s="192">
        <v>0</v>
      </c>
      <c r="Q31" s="183">
        <f t="shared" si="1"/>
        <v>0</v>
      </c>
      <c r="R31" s="135" t="str">
        <f t="shared" si="2"/>
        <v/>
      </c>
      <c r="S31" s="135" t="str">
        <f>IF(Q31="","",IF(Q31+Q32&lt;&gt;20,IF(Q31+Q32&lt;&gt;0,"!",""),""))</f>
        <v/>
      </c>
      <c r="T31" s="21" t="str">
        <f t="shared" si="3"/>
        <v/>
      </c>
      <c r="U31" s="132">
        <f>IF(D31="",0,VLOOKUP(D31,'Tournament Details'!$C:$X,22,FALSE))</f>
        <v>0</v>
      </c>
      <c r="V31" s="132">
        <f>IF(D31="",0,VLOOKUP(D31,'Tournament Details'!$C:$Y,23,FALSE))</f>
        <v>0</v>
      </c>
      <c r="W31" s="132">
        <f>IF(D31="",0,VLOOKUP(D31,'Tournament Details'!$C:$Z,24,FALSE))</f>
        <v>0</v>
      </c>
      <c r="X31" s="132">
        <f>IF(D31="",0,VLOOKUP(D31,'Tournament Details'!$C:$AA,25,FALSE))</f>
        <v>0</v>
      </c>
      <c r="Y31" s="40" t="str">
        <f>IF(D31="","",IF(COUNTIF(D:D,D31)&gt;1,"DUPLICATE PLAYER",IF(D32="","NO OPPONENT",IF(D32=U31,"REPEAT MATCHUP",IF(D32=V31,"REPEAT MATCHUP",IF(D32=W31,"REPEAT MATCHUP",IF(D32=X31,"REPEAT MATCHUP",IF(H31=H32,"SAME TEAM",""))))))))</f>
        <v/>
      </c>
      <c r="Z31" s="40"/>
      <c r="AA31" t="str">
        <f>IF(Y31="NO OPPONENT","",IF(Y31&lt;&gt;"",CONCATENATE("Previous Matchup Player #: ",VLOOKUP(D31,'Tournament Details'!$C:$X,22,FALSE)," - ",VLOOKUP(D31,'Tournament Details'!$C:$Y,23,FALSE)," - ",VLOOKUP(D31,'Tournament Details'!$C:$Z,24,FALSE)," - ",VLOOKUP(D31,'Tournament Details'!$C:$AA,25,FALSE)),""))</f>
        <v/>
      </c>
    </row>
    <row r="32" spans="1:27" ht="15" customHeight="1" thickBot="1" x14ac:dyDescent="0.35">
      <c r="A32" s="224"/>
      <c r="B32" s="43">
        <f t="shared" si="0"/>
        <v>0</v>
      </c>
      <c r="C32" s="44" t="str">
        <f t="shared" si="4"/>
        <v/>
      </c>
      <c r="D32" s="74" t="str">
        <f>IF('Tournament Details'!A1&gt;=1,IF('Tournament Details'!C36&lt;=LARGE('Round 4'!$C:$C,1),VLOOKUP(SMALL('Round 4'!$C:$C,30),'Round 4'!$C:$D,2,FALSE),""),"")</f>
        <v/>
      </c>
      <c r="E32" s="44" t="str">
        <f>IF(D32="","",B32+VLOOKUP(D32,'Round 4'!$D:$E,2,FALSE))</f>
        <v/>
      </c>
      <c r="F32" s="44" t="str">
        <f>IF(D32="","",(LARGE('Tournament Details'!$C:$C,1)+1-D32)+E32)</f>
        <v/>
      </c>
      <c r="G32" s="24" t="str">
        <f>D31</f>
        <v/>
      </c>
      <c r="H32" s="26" t="str">
        <f>IF(D32="","",IF(VLOOKUP(D32,'Tournament Details'!$C:$G,5,FALSE)="",D32,VLOOKUP(D32,'Tournament Details'!$C:$G,5,FALSE)))</f>
        <v/>
      </c>
      <c r="I32" s="12" t="str">
        <f>IF(D32=0,"",IF(VLOOKUP(D32,'Tournament Details'!$C:$E,3,FALSE)&gt;0,VLOOKUP(D32,'Tournament Details'!$C:$E,3,FALSE),""))</f>
        <v/>
      </c>
      <c r="J32" s="130"/>
      <c r="K32" s="130"/>
      <c r="L32" s="23"/>
      <c r="M32" s="24"/>
      <c r="N32" s="24"/>
      <c r="O32" s="24"/>
      <c r="P32" s="193">
        <v>0</v>
      </c>
      <c r="Q32" s="183">
        <f t="shared" si="1"/>
        <v>0</v>
      </c>
      <c r="R32" s="135" t="str">
        <f t="shared" si="2"/>
        <v/>
      </c>
      <c r="S32" s="135" t="str">
        <f>IF(Q32="","",IF(Q31+Q32&lt;&gt;20,IF(Q31+Q32&lt;&gt;0,"!",""),""))</f>
        <v/>
      </c>
      <c r="T32" s="21" t="str">
        <f t="shared" si="3"/>
        <v/>
      </c>
      <c r="U32" s="132">
        <f>IF(D32="",0,VLOOKUP(D32,'Tournament Details'!$C:$X,22,FALSE))</f>
        <v>0</v>
      </c>
      <c r="V32" s="132">
        <f>IF(D32="",0,VLOOKUP(D32,'Tournament Details'!$C:$Y,23,FALSE))</f>
        <v>0</v>
      </c>
      <c r="W32" s="132">
        <f>IF(D32="",0,VLOOKUP(D32,'Tournament Details'!$C:$Z,24,FALSE))</f>
        <v>0</v>
      </c>
      <c r="X32" s="132">
        <f>IF(D32="",0,VLOOKUP(D32,'Tournament Details'!$C:$AA,25,FALSE))</f>
        <v>0</v>
      </c>
      <c r="Y32" s="40" t="str">
        <f>IF(D32="","",IF(COUNTIF(D:D,D32)&gt;1,"DUPLICATE PLAYER",IF(D31="","NO OPPONENT",IF(D31=U32,"REPEAT MATCHUP",IF(D31=V32,"REPEAT MATCHUP",IF(D31=W32,"REPEAT MATCHUP",IF(D31=X32,"REPEAT MATCHUP",IF(H32=H31,"SAME TEAM",""))))))))</f>
        <v/>
      </c>
      <c r="Z32" s="40"/>
      <c r="AA32" t="str">
        <f>IF(Y32="NO OPPONENT","",IF(Y32&lt;&gt;"",CONCATENATE("Previous Matchup Player #: ",VLOOKUP(D32,'Tournament Details'!$C:$X,22,FALSE)," - ",VLOOKUP(D32,'Tournament Details'!$C:$Y,23,FALSE)," - ",VLOOKUP(D32,'Tournament Details'!$C:$Z,24,FALSE)," - ",VLOOKUP(D32,'Tournament Details'!$C:$AA,25,FALSE)),""))</f>
        <v/>
      </c>
    </row>
    <row r="33" spans="1:27" ht="15" customHeight="1" thickBot="1" x14ac:dyDescent="0.35">
      <c r="A33" s="224" t="str">
        <f>IF('Tournament Details'!A1&gt;=1,IF(LARGE('Tournament Details'!C7:C86,1)&gt;=32,16,""),"")</f>
        <v/>
      </c>
      <c r="B33" s="42">
        <f t="shared" si="0"/>
        <v>0</v>
      </c>
      <c r="C33" s="44" t="str">
        <f t="shared" si="4"/>
        <v/>
      </c>
      <c r="D33" s="66" t="str">
        <f>IF('Tournament Details'!A1&gt;=1,IF('Tournament Details'!C37&lt;=LARGE('Round 4'!$C:$C,1),VLOOKUP(SMALL('Round 4'!$C:$C,31),'Round 4'!$C:$D,2,FALSE),""),"")</f>
        <v/>
      </c>
      <c r="E33" s="44" t="str">
        <f>IF(D33="","",B33+VLOOKUP(D33,'Round 4'!$D:$E,2,FALSE))</f>
        <v/>
      </c>
      <c r="F33" s="44" t="str">
        <f>IF(D33="","",(LARGE('Tournament Details'!$C:$C,1)+1-D33)+E33)</f>
        <v/>
      </c>
      <c r="G33" s="23" t="str">
        <f>D34</f>
        <v/>
      </c>
      <c r="H33" s="25" t="str">
        <f>IF(D33="","",IF(VLOOKUP(D33,'Tournament Details'!$C:$G,5,FALSE)="",D33,VLOOKUP(D33,'Tournament Details'!$C:$G,5,FALSE)))</f>
        <v/>
      </c>
      <c r="I33" s="7" t="str">
        <f>IF(D33=0,"",IF(VLOOKUP(D33,'Tournament Details'!$C:$E,3,FALSE)&gt;0,VLOOKUP(D33,'Tournament Details'!$C:$E,3,FALSE),""))</f>
        <v/>
      </c>
      <c r="J33" s="129"/>
      <c r="K33" s="129"/>
      <c r="L33" s="23"/>
      <c r="M33" s="23"/>
      <c r="N33" s="23"/>
      <c r="O33" s="23"/>
      <c r="P33" s="192">
        <v>0</v>
      </c>
      <c r="Q33" s="183">
        <f t="shared" si="1"/>
        <v>0</v>
      </c>
      <c r="R33" s="135" t="str">
        <f t="shared" si="2"/>
        <v/>
      </c>
      <c r="S33" s="135" t="str">
        <f>IF(Q33="","",IF(Q33+Q34&lt;&gt;20,IF(Q33+Q34&lt;&gt;0,"!",""),""))</f>
        <v/>
      </c>
      <c r="T33" s="21" t="str">
        <f t="shared" si="3"/>
        <v/>
      </c>
      <c r="U33" s="132">
        <f>IF(D33="",0,VLOOKUP(D33,'Tournament Details'!$C:$X,22,FALSE))</f>
        <v>0</v>
      </c>
      <c r="V33" s="132">
        <f>IF(D33="",0,VLOOKUP(D33,'Tournament Details'!$C:$Y,23,FALSE))</f>
        <v>0</v>
      </c>
      <c r="W33" s="132">
        <f>IF(D33="",0,VLOOKUP(D33,'Tournament Details'!$C:$Z,24,FALSE))</f>
        <v>0</v>
      </c>
      <c r="X33" s="132">
        <f>IF(D33="",0,VLOOKUP(D33,'Tournament Details'!$C:$AA,25,FALSE))</f>
        <v>0</v>
      </c>
      <c r="Y33" s="40" t="str">
        <f>IF(D33="","",IF(COUNTIF(D:D,D33)&gt;1,"DUPLICATE PLAYER",IF(D34="","NO OPPONENT",IF(D34=U33,"REPEAT MATCHUP",IF(D34=V33,"REPEAT MATCHUP",IF(D34=W33,"REPEAT MATCHUP",IF(D34=X33,"REPEAT MATCHUP",IF(H33=H34,"SAME TEAM",""))))))))</f>
        <v/>
      </c>
      <c r="Z33" s="40"/>
      <c r="AA33" t="str">
        <f>IF(Y33="NO OPPONENT","",IF(Y33&lt;&gt;"",CONCATENATE("Previous Matchup Player #: ",VLOOKUP(D33,'Tournament Details'!$C:$X,22,FALSE)," - ",VLOOKUP(D33,'Tournament Details'!$C:$Y,23,FALSE)," - ",VLOOKUP(D33,'Tournament Details'!$C:$Z,24,FALSE)," - ",VLOOKUP(D33,'Tournament Details'!$C:$AA,25,FALSE)),""))</f>
        <v/>
      </c>
    </row>
    <row r="34" spans="1:27" ht="15" customHeight="1" thickBot="1" x14ac:dyDescent="0.35">
      <c r="A34" s="224"/>
      <c r="B34" s="43">
        <f t="shared" si="0"/>
        <v>0</v>
      </c>
      <c r="C34" s="44" t="str">
        <f t="shared" si="4"/>
        <v/>
      </c>
      <c r="D34" s="74" t="str">
        <f>IF('Tournament Details'!A1&gt;=1,IF('Tournament Details'!C38&lt;=LARGE('Round 4'!$C:$C,1),VLOOKUP(SMALL('Round 4'!$C:$C,32),'Round 4'!$C:$D,2,FALSE),""),"")</f>
        <v/>
      </c>
      <c r="E34" s="44" t="str">
        <f>IF(D34="","",B34+VLOOKUP(D34,'Round 4'!$D:$E,2,FALSE))</f>
        <v/>
      </c>
      <c r="F34" s="44" t="str">
        <f>IF(D34="","",(LARGE('Tournament Details'!$C:$C,1)+1-D34)+E34)</f>
        <v/>
      </c>
      <c r="G34" s="24" t="str">
        <f>D33</f>
        <v/>
      </c>
      <c r="H34" s="26" t="str">
        <f>IF(D34="","",IF(VLOOKUP(D34,'Tournament Details'!$C:$G,5,FALSE)="",D34,VLOOKUP(D34,'Tournament Details'!$C:$G,5,FALSE)))</f>
        <v/>
      </c>
      <c r="I34" s="12" t="str">
        <f>IF(D34=0,"",IF(VLOOKUP(D34,'Tournament Details'!$C:$E,3,FALSE)&gt;0,VLOOKUP(D34,'Tournament Details'!$C:$E,3,FALSE),""))</f>
        <v/>
      </c>
      <c r="J34" s="130"/>
      <c r="K34" s="130"/>
      <c r="L34" s="23"/>
      <c r="M34" s="24"/>
      <c r="N34" s="24"/>
      <c r="O34" s="24"/>
      <c r="P34" s="193">
        <v>0</v>
      </c>
      <c r="Q34" s="183">
        <f t="shared" si="1"/>
        <v>0</v>
      </c>
      <c r="R34" s="135" t="str">
        <f t="shared" si="2"/>
        <v/>
      </c>
      <c r="S34" s="135" t="str">
        <f>IF(Q34="","",IF(Q33+Q34&lt;&gt;20,IF(Q33+Q34&lt;&gt;0,"!",""),""))</f>
        <v/>
      </c>
      <c r="T34" s="21" t="str">
        <f t="shared" si="3"/>
        <v/>
      </c>
      <c r="U34" s="132">
        <f>IF(D34="",0,VLOOKUP(D34,'Tournament Details'!$C:$X,22,FALSE))</f>
        <v>0</v>
      </c>
      <c r="V34" s="132">
        <f>IF(D34="",0,VLOOKUP(D34,'Tournament Details'!$C:$Y,23,FALSE))</f>
        <v>0</v>
      </c>
      <c r="W34" s="132">
        <f>IF(D34="",0,VLOOKUP(D34,'Tournament Details'!$C:$Z,24,FALSE))</f>
        <v>0</v>
      </c>
      <c r="X34" s="132">
        <f>IF(D34="",0,VLOOKUP(D34,'Tournament Details'!$C:$AA,25,FALSE))</f>
        <v>0</v>
      </c>
      <c r="Y34" s="40" t="str">
        <f>IF(D34="","",IF(COUNTIF(D:D,D34)&gt;1,"DUPLICATE PLAYER",IF(D33="","NO OPPONENT",IF(D33=U34,"REPEAT MATCHUP",IF(D33=V34,"REPEAT MATCHUP",IF(D33=W34,"REPEAT MATCHUP",IF(D33=X34,"REPEAT MATCHUP",IF(H34=H33,"SAME TEAM",""))))))))</f>
        <v/>
      </c>
      <c r="Z34" s="40"/>
      <c r="AA34" t="str">
        <f>IF(Y34="NO OPPONENT","",IF(Y34&lt;&gt;"",CONCATENATE("Previous Matchup Player #: ",VLOOKUP(D34,'Tournament Details'!$C:$X,22,FALSE)," - ",VLOOKUP(D34,'Tournament Details'!$C:$Y,23,FALSE)," - ",VLOOKUP(D34,'Tournament Details'!$C:$Z,24,FALSE)," - ",VLOOKUP(D34,'Tournament Details'!$C:$AA,25,FALSE)),""))</f>
        <v/>
      </c>
    </row>
    <row r="35" spans="1:27" ht="15" customHeight="1" thickBot="1" x14ac:dyDescent="0.35">
      <c r="A35" s="224" t="str">
        <f>IF('Tournament Details'!A1&gt;=1,IF(LARGE('Tournament Details'!C7:C86,1)&gt;=34,17,""),"")</f>
        <v/>
      </c>
      <c r="B35" s="42">
        <f t="shared" ref="B35:B66" si="5">IF(Q35="","",(Q35*10000)+K35)</f>
        <v>0</v>
      </c>
      <c r="C35" s="44" t="str">
        <f t="shared" si="4"/>
        <v/>
      </c>
      <c r="D35" s="66" t="str">
        <f>IF('Tournament Details'!A1&gt;=1,IF('Tournament Details'!C39&lt;=LARGE('Round 4'!$C:$C,1),VLOOKUP(SMALL('Round 4'!$C:$C,33),'Round 4'!$C:$D,2,FALSE),""),"")</f>
        <v/>
      </c>
      <c r="E35" s="44" t="str">
        <f>IF(D35="","",B35+VLOOKUP(D35,'Round 4'!$D:$E,2,FALSE))</f>
        <v/>
      </c>
      <c r="F35" s="44" t="str">
        <f>IF(D35="","",(LARGE('Tournament Details'!$C:$C,1)+1-D35)+E35)</f>
        <v/>
      </c>
      <c r="G35" s="23" t="str">
        <f>D36</f>
        <v/>
      </c>
      <c r="H35" s="25" t="str">
        <f>IF(D35="","",IF(VLOOKUP(D35,'Tournament Details'!$C:$G,5,FALSE)="",D35,VLOOKUP(D35,'Tournament Details'!$C:$G,5,FALSE)))</f>
        <v/>
      </c>
      <c r="I35" s="7" t="str">
        <f>IF(D35=0,"",IF(VLOOKUP(D35,'Tournament Details'!$C:$E,3,FALSE)&gt;0,VLOOKUP(D35,'Tournament Details'!$C:$E,3,FALSE),""))</f>
        <v/>
      </c>
      <c r="J35" s="129"/>
      <c r="K35" s="129"/>
      <c r="L35" s="23"/>
      <c r="M35" s="23"/>
      <c r="N35" s="23"/>
      <c r="O35" s="23"/>
      <c r="P35" s="192">
        <v>0</v>
      </c>
      <c r="Q35" s="183">
        <f t="shared" ref="Q35:Q66" si="6">IF(P35="",0,P35)</f>
        <v>0</v>
      </c>
      <c r="R35" s="135" t="str">
        <f t="shared" ref="R35:R66" si="7">IF(J35="","",IF(J35&gt;16,"!",IF(J35&lt;4,"!","")))</f>
        <v/>
      </c>
      <c r="S35" s="135" t="str">
        <f>IF(Q35="","",IF(Q35+Q36&lt;&gt;20,IF(Q35+Q36&lt;&gt;0,"!",""),""))</f>
        <v/>
      </c>
      <c r="T35" s="21" t="str">
        <f t="shared" ref="T35:T66" si="8">IF(R35="!","!",IF(S35="!","!",""))</f>
        <v/>
      </c>
      <c r="U35" s="132">
        <f>IF(D35="",0,VLOOKUP(D35,'Tournament Details'!$C:$X,22,FALSE))</f>
        <v>0</v>
      </c>
      <c r="V35" s="132">
        <f>IF(D35="",0,VLOOKUP(D35,'Tournament Details'!$C:$Y,23,FALSE))</f>
        <v>0</v>
      </c>
      <c r="W35" s="132">
        <f>IF(D35="",0,VLOOKUP(D35,'Tournament Details'!$C:$Z,24,FALSE))</f>
        <v>0</v>
      </c>
      <c r="X35" s="132">
        <f>IF(D35="",0,VLOOKUP(D35,'Tournament Details'!$C:$AA,25,FALSE))</f>
        <v>0</v>
      </c>
      <c r="Y35" s="40" t="str">
        <f>IF(D35="","",IF(COUNTIF(D:D,D35)&gt;1,"DUPLICATE PLAYER",IF(D36="","NO OPPONENT",IF(D36=U35,"REPEAT MATCHUP",IF(D36=V35,"REPEAT MATCHUP",IF(D36=W35,"REPEAT MATCHUP",IF(D36=X35,"REPEAT MATCHUP",IF(H35=H36,"SAME TEAM",""))))))))</f>
        <v/>
      </c>
      <c r="Z35" s="40"/>
      <c r="AA35" t="str">
        <f>IF(Y35="NO OPPONENT","",IF(Y35&lt;&gt;"",CONCATENATE("Previous Matchup Player #: ",VLOOKUP(D35,'Tournament Details'!$C:$X,22,FALSE)," - ",VLOOKUP(D35,'Tournament Details'!$C:$Y,23,FALSE)," - ",VLOOKUP(D35,'Tournament Details'!$C:$Z,24,FALSE)," - ",VLOOKUP(D35,'Tournament Details'!$C:$AA,25,FALSE)),""))</f>
        <v/>
      </c>
    </row>
    <row r="36" spans="1:27" ht="15" customHeight="1" thickBot="1" x14ac:dyDescent="0.35">
      <c r="A36" s="224"/>
      <c r="B36" s="43">
        <f t="shared" si="5"/>
        <v>0</v>
      </c>
      <c r="C36" s="44" t="str">
        <f t="shared" si="4"/>
        <v/>
      </c>
      <c r="D36" s="74" t="str">
        <f>IF('Tournament Details'!A1&gt;=1,IF('Tournament Details'!C40&lt;=LARGE('Round 4'!$C:$C,1),VLOOKUP(SMALL('Round 4'!$C:$C,34),'Round 4'!$C:$D,2,FALSE),""),"")</f>
        <v/>
      </c>
      <c r="E36" s="44" t="str">
        <f>IF(D36="","",B36+VLOOKUP(D36,'Round 4'!$D:$E,2,FALSE))</f>
        <v/>
      </c>
      <c r="F36" s="44" t="str">
        <f>IF(D36="","",(LARGE('Tournament Details'!$C:$C,1)+1-D36)+E36)</f>
        <v/>
      </c>
      <c r="G36" s="24" t="str">
        <f>D35</f>
        <v/>
      </c>
      <c r="H36" s="26" t="str">
        <f>IF(D36="","",IF(VLOOKUP(D36,'Tournament Details'!$C:$G,5,FALSE)="",D36,VLOOKUP(D36,'Tournament Details'!$C:$G,5,FALSE)))</f>
        <v/>
      </c>
      <c r="I36" s="12" t="str">
        <f>IF(D36=0,"",IF(VLOOKUP(D36,'Tournament Details'!$C:$E,3,FALSE)&gt;0,VLOOKUP(D36,'Tournament Details'!$C:$E,3,FALSE),""))</f>
        <v/>
      </c>
      <c r="J36" s="130"/>
      <c r="K36" s="130"/>
      <c r="L36" s="23"/>
      <c r="M36" s="24"/>
      <c r="N36" s="24"/>
      <c r="O36" s="24"/>
      <c r="P36" s="193">
        <v>0</v>
      </c>
      <c r="Q36" s="183">
        <f t="shared" si="6"/>
        <v>0</v>
      </c>
      <c r="R36" s="135" t="str">
        <f t="shared" si="7"/>
        <v/>
      </c>
      <c r="S36" s="135" t="str">
        <f>IF(Q36="","",IF(Q35+Q36&lt;&gt;20,IF(Q35+Q36&lt;&gt;0,"!",""),""))</f>
        <v/>
      </c>
      <c r="T36" s="21" t="str">
        <f t="shared" si="8"/>
        <v/>
      </c>
      <c r="U36" s="132">
        <f>IF(D36="",0,VLOOKUP(D36,'Tournament Details'!$C:$X,22,FALSE))</f>
        <v>0</v>
      </c>
      <c r="V36" s="132">
        <f>IF(D36="",0,VLOOKUP(D36,'Tournament Details'!$C:$Y,23,FALSE))</f>
        <v>0</v>
      </c>
      <c r="W36" s="132">
        <f>IF(D36="",0,VLOOKUP(D36,'Tournament Details'!$C:$Z,24,FALSE))</f>
        <v>0</v>
      </c>
      <c r="X36" s="132">
        <f>IF(D36="",0,VLOOKUP(D36,'Tournament Details'!$C:$AA,25,FALSE))</f>
        <v>0</v>
      </c>
      <c r="Y36" s="40" t="str">
        <f>IF(D36="","",IF(COUNTIF(D:D,D36)&gt;1,"DUPLICATE PLAYER",IF(D35="","NO OPPONENT",IF(D35=U36,"REPEAT MATCHUP",IF(D35=V36,"REPEAT MATCHUP",IF(D35=W36,"REPEAT MATCHUP",IF(D35=X36,"REPEAT MATCHUP",IF(H36=H35,"SAME TEAM",""))))))))</f>
        <v/>
      </c>
      <c r="Z36" s="40"/>
      <c r="AA36" t="str">
        <f>IF(Y36="NO OPPONENT","",IF(Y36&lt;&gt;"",CONCATENATE("Previous Matchup Player #: ",VLOOKUP(D36,'Tournament Details'!$C:$X,22,FALSE)," - ",VLOOKUP(D36,'Tournament Details'!$C:$Y,23,FALSE)," - ",VLOOKUP(D36,'Tournament Details'!$C:$Z,24,FALSE)," - ",VLOOKUP(D36,'Tournament Details'!$C:$AA,25,FALSE)),""))</f>
        <v/>
      </c>
    </row>
    <row r="37" spans="1:27" ht="15" customHeight="1" thickBot="1" x14ac:dyDescent="0.35">
      <c r="A37" s="224" t="str">
        <f>IF('Tournament Details'!A1&gt;=1,IF(LARGE('Tournament Details'!C7:C86,1)&gt;=36,18,""),"")</f>
        <v/>
      </c>
      <c r="B37" s="42">
        <f t="shared" si="5"/>
        <v>0</v>
      </c>
      <c r="C37" s="44" t="str">
        <f t="shared" si="4"/>
        <v/>
      </c>
      <c r="D37" s="66" t="str">
        <f>IF('Tournament Details'!A1&gt;=1,IF('Tournament Details'!C41&lt;=LARGE('Round 4'!$C:$C,1),VLOOKUP(SMALL('Round 4'!$C:$C,35),'Round 4'!$C:$D,2,FALSE),""),"")</f>
        <v/>
      </c>
      <c r="E37" s="44" t="str">
        <f>IF(D37="","",B37+VLOOKUP(D37,'Round 4'!$D:$E,2,FALSE))</f>
        <v/>
      </c>
      <c r="F37" s="44" t="str">
        <f>IF(D37="","",(LARGE('Tournament Details'!$C:$C,1)+1-D37)+E37)</f>
        <v/>
      </c>
      <c r="G37" s="23" t="str">
        <f>D38</f>
        <v/>
      </c>
      <c r="H37" s="25" t="str">
        <f>IF(D37="","",IF(VLOOKUP(D37,'Tournament Details'!$C:$G,5,FALSE)="",D37,VLOOKUP(D37,'Tournament Details'!$C:$G,5,FALSE)))</f>
        <v/>
      </c>
      <c r="I37" s="7" t="str">
        <f>IF(D37=0,"",IF(VLOOKUP(D37,'Tournament Details'!$C:$E,3,FALSE)&gt;0,VLOOKUP(D37,'Tournament Details'!$C:$E,3,FALSE),""))</f>
        <v/>
      </c>
      <c r="J37" s="129"/>
      <c r="K37" s="129"/>
      <c r="L37" s="23"/>
      <c r="M37" s="23"/>
      <c r="N37" s="23"/>
      <c r="O37" s="23"/>
      <c r="P37" s="192">
        <v>0</v>
      </c>
      <c r="Q37" s="183">
        <f t="shared" si="6"/>
        <v>0</v>
      </c>
      <c r="R37" s="135" t="str">
        <f t="shared" si="7"/>
        <v/>
      </c>
      <c r="S37" s="135" t="str">
        <f>IF(Q37="","",IF(Q37+Q38&lt;&gt;20,IF(Q37+Q38&lt;&gt;0,"!",""),""))</f>
        <v/>
      </c>
      <c r="T37" s="21" t="str">
        <f t="shared" si="8"/>
        <v/>
      </c>
      <c r="U37" s="132">
        <f>IF(D37="",0,VLOOKUP(D37,'Tournament Details'!$C:$X,22,FALSE))</f>
        <v>0</v>
      </c>
      <c r="V37" s="132">
        <f>IF(D37="",0,VLOOKUP(D37,'Tournament Details'!$C:$Y,23,FALSE))</f>
        <v>0</v>
      </c>
      <c r="W37" s="132">
        <f>IF(D37="",0,VLOOKUP(D37,'Tournament Details'!$C:$Z,24,FALSE))</f>
        <v>0</v>
      </c>
      <c r="X37" s="132">
        <f>IF(D37="",0,VLOOKUP(D37,'Tournament Details'!$C:$AA,25,FALSE))</f>
        <v>0</v>
      </c>
      <c r="Y37" s="40" t="str">
        <f>IF(D37="","",IF(COUNTIF(D:D,D37)&gt;1,"DUPLICATE PLAYER",IF(D38="","NO OPPONENT",IF(D38=U37,"REPEAT MATCHUP",IF(D38=V37,"REPEAT MATCHUP",IF(D38=W37,"REPEAT MATCHUP",IF(D38=X37,"REPEAT MATCHUP",IF(H37=H38,"SAME TEAM",""))))))))</f>
        <v/>
      </c>
      <c r="Z37" s="40"/>
      <c r="AA37" t="str">
        <f>IF(Y37="NO OPPONENT","",IF(Y37&lt;&gt;"",CONCATENATE("Previous Matchup Player #: ",VLOOKUP(D37,'Tournament Details'!$C:$X,22,FALSE)," - ",VLOOKUP(D37,'Tournament Details'!$C:$Y,23,FALSE)," - ",VLOOKUP(D37,'Tournament Details'!$C:$Z,24,FALSE)," - ",VLOOKUP(D37,'Tournament Details'!$C:$AA,25,FALSE)),""))</f>
        <v/>
      </c>
    </row>
    <row r="38" spans="1:27" ht="15" customHeight="1" thickBot="1" x14ac:dyDescent="0.35">
      <c r="A38" s="224"/>
      <c r="B38" s="43">
        <f t="shared" si="5"/>
        <v>0</v>
      </c>
      <c r="C38" s="44" t="str">
        <f t="shared" si="4"/>
        <v/>
      </c>
      <c r="D38" s="74" t="str">
        <f>IF('Tournament Details'!A1&gt;=1,IF('Tournament Details'!C42&lt;=LARGE('Round 4'!$C:$C,1),VLOOKUP(SMALL('Round 4'!$C:$C,36),'Round 4'!$C:$D,2,FALSE),""),"")</f>
        <v/>
      </c>
      <c r="E38" s="44" t="str">
        <f>IF(D38="","",B38+VLOOKUP(D38,'Round 4'!$D:$E,2,FALSE))</f>
        <v/>
      </c>
      <c r="F38" s="44" t="str">
        <f>IF(D38="","",(LARGE('Tournament Details'!$C:$C,1)+1-D38)+E38)</f>
        <v/>
      </c>
      <c r="G38" s="24" t="str">
        <f>D37</f>
        <v/>
      </c>
      <c r="H38" s="26" t="str">
        <f>IF(D38="","",IF(VLOOKUP(D38,'Tournament Details'!$C:$G,5,FALSE)="",D38,VLOOKUP(D38,'Tournament Details'!$C:$G,5,FALSE)))</f>
        <v/>
      </c>
      <c r="I38" s="12" t="str">
        <f>IF(D38=0,"",IF(VLOOKUP(D38,'Tournament Details'!$C:$E,3,FALSE)&gt;0,VLOOKUP(D38,'Tournament Details'!$C:$E,3,FALSE),""))</f>
        <v/>
      </c>
      <c r="J38" s="130"/>
      <c r="K38" s="130"/>
      <c r="L38" s="23"/>
      <c r="M38" s="24"/>
      <c r="N38" s="24"/>
      <c r="O38" s="24"/>
      <c r="P38" s="193">
        <v>0</v>
      </c>
      <c r="Q38" s="183">
        <f t="shared" si="6"/>
        <v>0</v>
      </c>
      <c r="R38" s="135" t="str">
        <f t="shared" si="7"/>
        <v/>
      </c>
      <c r="S38" s="135" t="str">
        <f>IF(Q38="","",IF(Q37+Q38&lt;&gt;20,IF(Q37+Q38&lt;&gt;0,"!",""),""))</f>
        <v/>
      </c>
      <c r="T38" s="21" t="str">
        <f t="shared" si="8"/>
        <v/>
      </c>
      <c r="U38" s="132">
        <f>IF(D38="",0,VLOOKUP(D38,'Tournament Details'!$C:$X,22,FALSE))</f>
        <v>0</v>
      </c>
      <c r="V38" s="132">
        <f>IF(D38="",0,VLOOKUP(D38,'Tournament Details'!$C:$Y,23,FALSE))</f>
        <v>0</v>
      </c>
      <c r="W38" s="132">
        <f>IF(D38="",0,VLOOKUP(D38,'Tournament Details'!$C:$Z,24,FALSE))</f>
        <v>0</v>
      </c>
      <c r="X38" s="132">
        <f>IF(D38="",0,VLOOKUP(D38,'Tournament Details'!$C:$AA,25,FALSE))</f>
        <v>0</v>
      </c>
      <c r="Y38" s="40" t="str">
        <f>IF(D38="","",IF(COUNTIF(D:D,D38)&gt;1,"DUPLICATE PLAYER",IF(D37="","NO OPPONENT",IF(D37=U38,"REPEAT MATCHUP",IF(D37=V38,"REPEAT MATCHUP",IF(D37=W38,"REPEAT MATCHUP",IF(D37=X38,"REPEAT MATCHUP",IF(H38=H37,"SAME TEAM",""))))))))</f>
        <v/>
      </c>
      <c r="Z38" s="40"/>
      <c r="AA38" t="str">
        <f>IF(Y38="NO OPPONENT","",IF(Y38&lt;&gt;"",CONCATENATE("Previous Matchup Player #: ",VLOOKUP(D38,'Tournament Details'!$C:$X,22,FALSE)," - ",VLOOKUP(D38,'Tournament Details'!$C:$Y,23,FALSE)," - ",VLOOKUP(D38,'Tournament Details'!$C:$Z,24,FALSE)," - ",VLOOKUP(D38,'Tournament Details'!$C:$AA,25,FALSE)),""))</f>
        <v/>
      </c>
    </row>
    <row r="39" spans="1:27" ht="15" customHeight="1" thickBot="1" x14ac:dyDescent="0.35">
      <c r="A39" s="224" t="str">
        <f>IF('Tournament Details'!A1&gt;=1,IF(LARGE('Tournament Details'!C7:C86,1)&gt;=38,19,""),"")</f>
        <v/>
      </c>
      <c r="B39" s="42">
        <f t="shared" si="5"/>
        <v>0</v>
      </c>
      <c r="C39" s="44" t="str">
        <f t="shared" si="4"/>
        <v/>
      </c>
      <c r="D39" s="66" t="str">
        <f>IF('Tournament Details'!A1&gt;=1,IF('Tournament Details'!C43&lt;=LARGE('Round 4'!$C:$C,1),VLOOKUP(SMALL('Round 4'!$C:$C,37),'Round 4'!$C:$D,2,FALSE),""),"")</f>
        <v/>
      </c>
      <c r="E39" s="44" t="str">
        <f>IF(D39="","",B39+VLOOKUP(D39,'Round 4'!$D:$E,2,FALSE))</f>
        <v/>
      </c>
      <c r="F39" s="44" t="str">
        <f>IF(D39="","",(LARGE('Tournament Details'!$C:$C,1)+1-D39)+E39)</f>
        <v/>
      </c>
      <c r="G39" s="23" t="str">
        <f>D40</f>
        <v/>
      </c>
      <c r="H39" s="25" t="str">
        <f>IF(D39="","",IF(VLOOKUP(D39,'Tournament Details'!$C:$G,5,FALSE)="",D39,VLOOKUP(D39,'Tournament Details'!$C:$G,5,FALSE)))</f>
        <v/>
      </c>
      <c r="I39" s="7" t="str">
        <f>IF(D39=0,"",IF(VLOOKUP(D39,'Tournament Details'!$C:$E,3,FALSE)&gt;0,VLOOKUP(D39,'Tournament Details'!$C:$E,3,FALSE),""))</f>
        <v/>
      </c>
      <c r="J39" s="129"/>
      <c r="K39" s="129"/>
      <c r="L39" s="23"/>
      <c r="M39" s="23"/>
      <c r="N39" s="23"/>
      <c r="O39" s="23"/>
      <c r="P39" s="192">
        <v>0</v>
      </c>
      <c r="Q39" s="183">
        <f t="shared" si="6"/>
        <v>0</v>
      </c>
      <c r="R39" s="135" t="str">
        <f t="shared" si="7"/>
        <v/>
      </c>
      <c r="S39" s="135" t="str">
        <f>IF(Q39="","",IF(Q39+Q40&lt;&gt;20,IF(Q39+Q40&lt;&gt;0,"!",""),""))</f>
        <v/>
      </c>
      <c r="T39" s="21" t="str">
        <f t="shared" si="8"/>
        <v/>
      </c>
      <c r="U39" s="132">
        <f>IF(D39="",0,VLOOKUP(D39,'Tournament Details'!$C:$X,22,FALSE))</f>
        <v>0</v>
      </c>
      <c r="V39" s="132">
        <f>IF(D39="",0,VLOOKUP(D39,'Tournament Details'!$C:$Y,23,FALSE))</f>
        <v>0</v>
      </c>
      <c r="W39" s="132">
        <f>IF(D39="",0,VLOOKUP(D39,'Tournament Details'!$C:$Z,24,FALSE))</f>
        <v>0</v>
      </c>
      <c r="X39" s="132">
        <f>IF(D39="",0,VLOOKUP(D39,'Tournament Details'!$C:$AA,25,FALSE))</f>
        <v>0</v>
      </c>
      <c r="Y39" s="40" t="str">
        <f>IF(D39="","",IF(COUNTIF(D:D,D39)&gt;1,"DUPLICATE PLAYER",IF(D40="","NO OPPONENT",IF(D40=U39,"REPEAT MATCHUP",IF(D40=V39,"REPEAT MATCHUP",IF(D40=W39,"REPEAT MATCHUP",IF(D40=X39,"REPEAT MATCHUP",IF(H39=H40,"SAME TEAM",""))))))))</f>
        <v/>
      </c>
      <c r="Z39" s="40"/>
      <c r="AA39" t="str">
        <f>IF(Y39="NO OPPONENT","",IF(Y39&lt;&gt;"",CONCATENATE("Previous Matchup Player #: ",VLOOKUP(D39,'Tournament Details'!$C:$X,22,FALSE)," - ",VLOOKUP(D39,'Tournament Details'!$C:$Y,23,FALSE)," - ",VLOOKUP(D39,'Tournament Details'!$C:$Z,24,FALSE)," - ",VLOOKUP(D39,'Tournament Details'!$C:$AA,25,FALSE)),""))</f>
        <v/>
      </c>
    </row>
    <row r="40" spans="1:27" ht="15" customHeight="1" thickBot="1" x14ac:dyDescent="0.35">
      <c r="A40" s="224"/>
      <c r="B40" s="43">
        <f t="shared" si="5"/>
        <v>0</v>
      </c>
      <c r="C40" s="44" t="str">
        <f t="shared" si="4"/>
        <v/>
      </c>
      <c r="D40" s="74" t="str">
        <f>IF('Tournament Details'!A1&gt;=1,IF('Tournament Details'!C44&lt;=LARGE('Round 4'!$C:$C,1),VLOOKUP(SMALL('Round 4'!$C:$C,38),'Round 4'!$C:$D,2,FALSE),""),"")</f>
        <v/>
      </c>
      <c r="E40" s="44" t="str">
        <f>IF(D40="","",B40+VLOOKUP(D40,'Round 4'!$D:$E,2,FALSE))</f>
        <v/>
      </c>
      <c r="F40" s="44" t="str">
        <f>IF(D40="","",(LARGE('Tournament Details'!$C:$C,1)+1-D40)+E40)</f>
        <v/>
      </c>
      <c r="G40" s="24" t="str">
        <f>D39</f>
        <v/>
      </c>
      <c r="H40" s="26" t="str">
        <f>IF(D40="","",IF(VLOOKUP(D40,'Tournament Details'!$C:$G,5,FALSE)="",D40,VLOOKUP(D40,'Tournament Details'!$C:$G,5,FALSE)))</f>
        <v/>
      </c>
      <c r="I40" s="12" t="str">
        <f>IF(D40=0,"",IF(VLOOKUP(D40,'Tournament Details'!$C:$E,3,FALSE)&gt;0,VLOOKUP(D40,'Tournament Details'!$C:$E,3,FALSE),""))</f>
        <v/>
      </c>
      <c r="J40" s="130"/>
      <c r="K40" s="130"/>
      <c r="L40" s="23"/>
      <c r="M40" s="24"/>
      <c r="N40" s="24"/>
      <c r="O40" s="24"/>
      <c r="P40" s="193">
        <v>0</v>
      </c>
      <c r="Q40" s="183">
        <f t="shared" si="6"/>
        <v>0</v>
      </c>
      <c r="R40" s="135" t="str">
        <f t="shared" si="7"/>
        <v/>
      </c>
      <c r="S40" s="135" t="str">
        <f>IF(Q40="","",IF(Q39+Q40&lt;&gt;20,IF(Q39+Q40&lt;&gt;0,"!",""),""))</f>
        <v/>
      </c>
      <c r="T40" s="21" t="str">
        <f t="shared" si="8"/>
        <v/>
      </c>
      <c r="U40" s="132">
        <f>IF(D40="",0,VLOOKUP(D40,'Tournament Details'!$C:$X,22,FALSE))</f>
        <v>0</v>
      </c>
      <c r="V40" s="132">
        <f>IF(D40="",0,VLOOKUP(D40,'Tournament Details'!$C:$Y,23,FALSE))</f>
        <v>0</v>
      </c>
      <c r="W40" s="132">
        <f>IF(D40="",0,VLOOKUP(D40,'Tournament Details'!$C:$Z,24,FALSE))</f>
        <v>0</v>
      </c>
      <c r="X40" s="132">
        <f>IF(D40="",0,VLOOKUP(D40,'Tournament Details'!$C:$AA,25,FALSE))</f>
        <v>0</v>
      </c>
      <c r="Y40" s="40" t="str">
        <f>IF(D40="","",IF(COUNTIF(D:D,D40)&gt;1,"DUPLICATE PLAYER",IF(D39="","NO OPPONENT",IF(D39=U40,"REPEAT MATCHUP",IF(D39=V40,"REPEAT MATCHUP",IF(D39=W40,"REPEAT MATCHUP",IF(D39=X40,"REPEAT MATCHUP",IF(H40=H39,"SAME TEAM",""))))))))</f>
        <v/>
      </c>
      <c r="Z40" s="40"/>
      <c r="AA40" t="str">
        <f>IF(Y40="NO OPPONENT","",IF(Y40&lt;&gt;"",CONCATENATE("Previous Matchup Player #: ",VLOOKUP(D40,'Tournament Details'!$C:$X,22,FALSE)," - ",VLOOKUP(D40,'Tournament Details'!$C:$Y,23,FALSE)," - ",VLOOKUP(D40,'Tournament Details'!$C:$Z,24,FALSE)," - ",VLOOKUP(D40,'Tournament Details'!$C:$AA,25,FALSE)),""))</f>
        <v/>
      </c>
    </row>
    <row r="41" spans="1:27" ht="15" customHeight="1" thickBot="1" x14ac:dyDescent="0.35">
      <c r="A41" s="224" t="str">
        <f>IF('Tournament Details'!A1&gt;=1,IF(LARGE('Tournament Details'!C7:C86,1)&gt;=40,20,""),"")</f>
        <v/>
      </c>
      <c r="B41" s="42">
        <f t="shared" si="5"/>
        <v>0</v>
      </c>
      <c r="C41" s="44" t="str">
        <f t="shared" si="4"/>
        <v/>
      </c>
      <c r="D41" s="66" t="str">
        <f>IF('Tournament Details'!A1&gt;=1,IF('Tournament Details'!C45&lt;=LARGE('Round 4'!$C:$C,1),VLOOKUP(SMALL('Round 4'!$C:$C,39),'Round 4'!$C:$D,2,FALSE),""),"")</f>
        <v/>
      </c>
      <c r="E41" s="44" t="str">
        <f>IF(D41="","",B41+VLOOKUP(D41,'Round 4'!$D:$E,2,FALSE))</f>
        <v/>
      </c>
      <c r="F41" s="44" t="str">
        <f>IF(D41="","",(LARGE('Tournament Details'!$C:$C,1)+1-D41)+E41)</f>
        <v/>
      </c>
      <c r="G41" s="23" t="str">
        <f>D42</f>
        <v/>
      </c>
      <c r="H41" s="25" t="str">
        <f>IF(D41="","",IF(VLOOKUP(D41,'Tournament Details'!$C:$G,5,FALSE)="",D41,VLOOKUP(D41,'Tournament Details'!$C:$G,5,FALSE)))</f>
        <v/>
      </c>
      <c r="I41" s="7" t="str">
        <f>IF(D41=0,"",IF(VLOOKUP(D41,'Tournament Details'!$C:$E,3,FALSE)&gt;0,VLOOKUP(D41,'Tournament Details'!$C:$E,3,FALSE),""))</f>
        <v/>
      </c>
      <c r="J41" s="129"/>
      <c r="K41" s="129"/>
      <c r="L41" s="23"/>
      <c r="M41" s="23"/>
      <c r="N41" s="23"/>
      <c r="O41" s="23"/>
      <c r="P41" s="192">
        <v>0</v>
      </c>
      <c r="Q41" s="183">
        <f t="shared" si="6"/>
        <v>0</v>
      </c>
      <c r="R41" s="135" t="str">
        <f t="shared" si="7"/>
        <v/>
      </c>
      <c r="S41" s="135" t="str">
        <f>IF(Q41="","",IF(Q41+Q42&lt;&gt;20,IF(Q41+Q42&lt;&gt;0,"!",""),""))</f>
        <v/>
      </c>
      <c r="T41" s="21" t="str">
        <f t="shared" si="8"/>
        <v/>
      </c>
      <c r="U41" s="132">
        <f>IF(D41="",0,VLOOKUP(D41,'Tournament Details'!$C:$X,22,FALSE))</f>
        <v>0</v>
      </c>
      <c r="V41" s="132">
        <f>IF(D41="",0,VLOOKUP(D41,'Tournament Details'!$C:$Y,23,FALSE))</f>
        <v>0</v>
      </c>
      <c r="W41" s="132">
        <f>IF(D41="",0,VLOOKUP(D41,'Tournament Details'!$C:$Z,24,FALSE))</f>
        <v>0</v>
      </c>
      <c r="X41" s="132">
        <f>IF(D41="",0,VLOOKUP(D41,'Tournament Details'!$C:$AA,25,FALSE))</f>
        <v>0</v>
      </c>
      <c r="Y41" s="40" t="str">
        <f>IF(D41="","",IF(COUNTIF(D:D,D41)&gt;1,"DUPLICATE PLAYER",IF(D42="","NO OPPONENT",IF(D42=U41,"REPEAT MATCHUP",IF(D42=V41,"REPEAT MATCHUP",IF(D42=W41,"REPEAT MATCHUP",IF(D42=X41,"REPEAT MATCHUP",IF(H41=H42,"SAME TEAM",""))))))))</f>
        <v/>
      </c>
      <c r="Z41" s="40"/>
      <c r="AA41" t="str">
        <f>IF(Y41="NO OPPONENT","",IF(Y41&lt;&gt;"",CONCATENATE("Previous Matchup Player #: ",VLOOKUP(D41,'Tournament Details'!$C:$X,22,FALSE)," - ",VLOOKUP(D41,'Tournament Details'!$C:$Y,23,FALSE)," - ",VLOOKUP(D41,'Tournament Details'!$C:$Z,24,FALSE)," - ",VLOOKUP(D41,'Tournament Details'!$C:$AA,25,FALSE)),""))</f>
        <v/>
      </c>
    </row>
    <row r="42" spans="1:27" ht="15" customHeight="1" thickBot="1" x14ac:dyDescent="0.35">
      <c r="A42" s="224"/>
      <c r="B42" s="43">
        <f t="shared" si="5"/>
        <v>0</v>
      </c>
      <c r="C42" s="44" t="str">
        <f t="shared" si="4"/>
        <v/>
      </c>
      <c r="D42" s="74" t="str">
        <f>IF('Tournament Details'!A1&gt;=1,IF('Tournament Details'!C46&lt;=LARGE('Round 4'!$C:$C,1),VLOOKUP(SMALL('Round 4'!$C:$C,40),'Round 4'!$C:$D,2,FALSE),""),"")</f>
        <v/>
      </c>
      <c r="E42" s="44" t="str">
        <f>IF(D42="","",B42+VLOOKUP(D42,'Round 4'!$D:$E,2,FALSE))</f>
        <v/>
      </c>
      <c r="F42" s="44" t="str">
        <f>IF(D42="","",(LARGE('Tournament Details'!$C:$C,1)+1-D42)+E42)</f>
        <v/>
      </c>
      <c r="G42" s="24" t="str">
        <f>D41</f>
        <v/>
      </c>
      <c r="H42" s="26" t="str">
        <f>IF(D42="","",IF(VLOOKUP(D42,'Tournament Details'!$C:$G,5,FALSE)="",D42,VLOOKUP(D42,'Tournament Details'!$C:$G,5,FALSE)))</f>
        <v/>
      </c>
      <c r="I42" s="12" t="str">
        <f>IF(D42=0,"",IF(VLOOKUP(D42,'Tournament Details'!$C:$E,3,FALSE)&gt;0,VLOOKUP(D42,'Tournament Details'!$C:$E,3,FALSE),""))</f>
        <v/>
      </c>
      <c r="J42" s="130"/>
      <c r="K42" s="130"/>
      <c r="L42" s="23"/>
      <c r="M42" s="24"/>
      <c r="N42" s="24"/>
      <c r="O42" s="24"/>
      <c r="P42" s="193">
        <v>0</v>
      </c>
      <c r="Q42" s="183">
        <f t="shared" si="6"/>
        <v>0</v>
      </c>
      <c r="R42" s="135" t="str">
        <f t="shared" si="7"/>
        <v/>
      </c>
      <c r="S42" s="135" t="str">
        <f>IF(Q42="","",IF(Q41+Q42&lt;&gt;20,IF(Q41+Q42&lt;&gt;0,"!",""),""))</f>
        <v/>
      </c>
      <c r="T42" s="21" t="str">
        <f t="shared" si="8"/>
        <v/>
      </c>
      <c r="U42" s="132">
        <f>IF(D42="",0,VLOOKUP(D42,'Tournament Details'!$C:$X,22,FALSE))</f>
        <v>0</v>
      </c>
      <c r="V42" s="132">
        <f>IF(D42="",0,VLOOKUP(D42,'Tournament Details'!$C:$Y,23,FALSE))</f>
        <v>0</v>
      </c>
      <c r="W42" s="132">
        <f>IF(D42="",0,VLOOKUP(D42,'Tournament Details'!$C:$Z,24,FALSE))</f>
        <v>0</v>
      </c>
      <c r="X42" s="132">
        <f>IF(D42="",0,VLOOKUP(D42,'Tournament Details'!$C:$AA,25,FALSE))</f>
        <v>0</v>
      </c>
      <c r="Y42" s="40" t="str">
        <f>IF(D42="","",IF(COUNTIF(D:D,D42)&gt;1,"DUPLICATE PLAYER",IF(D41="","NO OPPONENT",IF(D41=U42,"REPEAT MATCHUP",IF(D41=V42,"REPEAT MATCHUP",IF(D41=W42,"REPEAT MATCHUP",IF(D41=X42,"REPEAT MATCHUP",IF(H42=H41,"SAME TEAM",""))))))))</f>
        <v/>
      </c>
      <c r="Z42" s="40"/>
      <c r="AA42" t="str">
        <f>IF(Y42="NO OPPONENT","",IF(Y42&lt;&gt;"",CONCATENATE("Previous Matchup Player #: ",VLOOKUP(D42,'Tournament Details'!$C:$X,22,FALSE)," - ",VLOOKUP(D42,'Tournament Details'!$C:$Y,23,FALSE)," - ",VLOOKUP(D42,'Tournament Details'!$C:$Z,24,FALSE)," - ",VLOOKUP(D42,'Tournament Details'!$C:$AA,25,FALSE)),""))</f>
        <v/>
      </c>
    </row>
    <row r="43" spans="1:27" ht="15" customHeight="1" thickBot="1" x14ac:dyDescent="0.35">
      <c r="A43" s="224" t="str">
        <f>IF('Tournament Details'!A1&gt;=1,IF(LARGE('Tournament Details'!C7:C86,1)&gt;=42,21,""),"")</f>
        <v/>
      </c>
      <c r="B43" s="42">
        <f t="shared" si="5"/>
        <v>0</v>
      </c>
      <c r="C43" s="44" t="str">
        <f t="shared" si="4"/>
        <v/>
      </c>
      <c r="D43" s="66" t="str">
        <f>IF('Tournament Details'!A1&gt;=1,IF('Tournament Details'!C47&lt;=LARGE('Round 4'!$C:$C,1),VLOOKUP(SMALL('Round 4'!$C:$C,41),'Round 4'!$C:$D,2,FALSE),""),"")</f>
        <v/>
      </c>
      <c r="E43" s="44" t="str">
        <f>IF(D43="","",B43+VLOOKUP(D43,'Round 4'!$D:$E,2,FALSE))</f>
        <v/>
      </c>
      <c r="F43" s="44" t="str">
        <f>IF(D43="","",(LARGE('Tournament Details'!$C:$C,1)+1-D43)+E43)</f>
        <v/>
      </c>
      <c r="G43" s="23" t="str">
        <f>D44</f>
        <v/>
      </c>
      <c r="H43" s="25" t="str">
        <f>IF(D43="","",IF(VLOOKUP(D43,'Tournament Details'!$C:$G,5,FALSE)="",D43,VLOOKUP(D43,'Tournament Details'!$C:$G,5,FALSE)))</f>
        <v/>
      </c>
      <c r="I43" s="7" t="str">
        <f>IF(D43=0,"",IF(VLOOKUP(D43,'Tournament Details'!$C:$E,3,FALSE)&gt;0,VLOOKUP(D43,'Tournament Details'!$C:$E,3,FALSE),""))</f>
        <v/>
      </c>
      <c r="J43" s="129"/>
      <c r="K43" s="129"/>
      <c r="L43" s="23"/>
      <c r="M43" s="23"/>
      <c r="N43" s="23"/>
      <c r="O43" s="23"/>
      <c r="P43" s="192">
        <v>0</v>
      </c>
      <c r="Q43" s="183">
        <f t="shared" si="6"/>
        <v>0</v>
      </c>
      <c r="R43" s="135" t="str">
        <f t="shared" si="7"/>
        <v/>
      </c>
      <c r="S43" s="135" t="str">
        <f>IF(Q43="","",IF(Q43+Q44&lt;&gt;20,IF(Q43+Q44&lt;&gt;0,"!",""),""))</f>
        <v/>
      </c>
      <c r="T43" s="21" t="str">
        <f t="shared" si="8"/>
        <v/>
      </c>
      <c r="U43" s="132">
        <f>IF(D43="",0,VLOOKUP(D43,'Tournament Details'!$C:$X,22,FALSE))</f>
        <v>0</v>
      </c>
      <c r="V43" s="132">
        <f>IF(D43="",0,VLOOKUP(D43,'Tournament Details'!$C:$Y,23,FALSE))</f>
        <v>0</v>
      </c>
      <c r="W43" s="132">
        <f>IF(D43="",0,VLOOKUP(D43,'Tournament Details'!$C:$Z,24,FALSE))</f>
        <v>0</v>
      </c>
      <c r="X43" s="132">
        <f>IF(D43="",0,VLOOKUP(D43,'Tournament Details'!$C:$AA,25,FALSE))</f>
        <v>0</v>
      </c>
      <c r="Y43" s="40" t="str">
        <f>IF(D43="","",IF(COUNTIF(D:D,D43)&gt;1,"DUPLICATE PLAYER",IF(D44="","NO OPPONENT",IF(D44=U43,"REPEAT MATCHUP",IF(D44=V43,"REPEAT MATCHUP",IF(D44=W43,"REPEAT MATCHUP",IF(D44=X43,"REPEAT MATCHUP",IF(H43=H44,"SAME TEAM",""))))))))</f>
        <v/>
      </c>
      <c r="Z43" s="40"/>
      <c r="AA43" t="str">
        <f>IF(Y43="NO OPPONENT","",IF(Y43&lt;&gt;"",CONCATENATE("Previous Matchup Player #: ",VLOOKUP(D43,'Tournament Details'!$C:$X,22,FALSE)," - ",VLOOKUP(D43,'Tournament Details'!$C:$Y,23,FALSE)," - ",VLOOKUP(D43,'Tournament Details'!$C:$Z,24,FALSE)," - ",VLOOKUP(D43,'Tournament Details'!$C:$AA,25,FALSE)),""))</f>
        <v/>
      </c>
    </row>
    <row r="44" spans="1:27" ht="15" customHeight="1" thickBot="1" x14ac:dyDescent="0.35">
      <c r="A44" s="224"/>
      <c r="B44" s="43">
        <f t="shared" si="5"/>
        <v>0</v>
      </c>
      <c r="C44" s="44" t="str">
        <f t="shared" si="4"/>
        <v/>
      </c>
      <c r="D44" s="74" t="str">
        <f>IF('Tournament Details'!A1&gt;=1,IF('Tournament Details'!C48&lt;=LARGE('Round 4'!$C:$C,1),VLOOKUP(SMALL('Round 4'!$C:$C,42),'Round 4'!$C:$D,2,FALSE),""),"")</f>
        <v/>
      </c>
      <c r="E44" s="44" t="str">
        <f>IF(D44="","",B44+VLOOKUP(D44,'Round 4'!$D:$E,2,FALSE))</f>
        <v/>
      </c>
      <c r="F44" s="44" t="str">
        <f>IF(D44="","",(LARGE('Tournament Details'!$C:$C,1)+1-D44)+E44)</f>
        <v/>
      </c>
      <c r="G44" s="24" t="str">
        <f>D43</f>
        <v/>
      </c>
      <c r="H44" s="26" t="str">
        <f>IF(D44="","",IF(VLOOKUP(D44,'Tournament Details'!$C:$G,5,FALSE)="",D44,VLOOKUP(D44,'Tournament Details'!$C:$G,5,FALSE)))</f>
        <v/>
      </c>
      <c r="I44" s="12" t="str">
        <f>IF(D44=0,"",IF(VLOOKUP(D44,'Tournament Details'!$C:$E,3,FALSE)&gt;0,VLOOKUP(D44,'Tournament Details'!$C:$E,3,FALSE),""))</f>
        <v/>
      </c>
      <c r="J44" s="130"/>
      <c r="K44" s="130"/>
      <c r="L44" s="23"/>
      <c r="M44" s="24"/>
      <c r="N44" s="24"/>
      <c r="O44" s="24"/>
      <c r="P44" s="193">
        <v>0</v>
      </c>
      <c r="Q44" s="183">
        <f t="shared" si="6"/>
        <v>0</v>
      </c>
      <c r="R44" s="135" t="str">
        <f t="shared" si="7"/>
        <v/>
      </c>
      <c r="S44" s="135" t="str">
        <f>IF(Q44="","",IF(Q43+Q44&lt;&gt;20,IF(Q43+Q44&lt;&gt;0,"!",""),""))</f>
        <v/>
      </c>
      <c r="T44" s="21" t="str">
        <f t="shared" si="8"/>
        <v/>
      </c>
      <c r="U44" s="132">
        <f>IF(D44="",0,VLOOKUP(D44,'Tournament Details'!$C:$X,22,FALSE))</f>
        <v>0</v>
      </c>
      <c r="V44" s="132">
        <f>IF(D44="",0,VLOOKUP(D44,'Tournament Details'!$C:$Y,23,FALSE))</f>
        <v>0</v>
      </c>
      <c r="W44" s="132">
        <f>IF(D44="",0,VLOOKUP(D44,'Tournament Details'!$C:$Z,24,FALSE))</f>
        <v>0</v>
      </c>
      <c r="X44" s="132">
        <f>IF(D44="",0,VLOOKUP(D44,'Tournament Details'!$C:$AA,25,FALSE))</f>
        <v>0</v>
      </c>
      <c r="Y44" s="40" t="str">
        <f>IF(D44="","",IF(COUNTIF(D:D,D44)&gt;1,"DUPLICATE PLAYER",IF(D43="","NO OPPONENT",IF(D43=U44,"REPEAT MATCHUP",IF(D43=V44,"REPEAT MATCHUP",IF(D43=W44,"REPEAT MATCHUP",IF(D43=X44,"REPEAT MATCHUP",IF(H44=H43,"SAME TEAM",""))))))))</f>
        <v/>
      </c>
      <c r="Z44" s="40"/>
      <c r="AA44" t="str">
        <f>IF(Y44="NO OPPONENT","",IF(Y44&lt;&gt;"",CONCATENATE("Previous Matchup Player #: ",VLOOKUP(D44,'Tournament Details'!$C:$X,22,FALSE)," - ",VLOOKUP(D44,'Tournament Details'!$C:$Y,23,FALSE)," - ",VLOOKUP(D44,'Tournament Details'!$C:$Z,24,FALSE)," - ",VLOOKUP(D44,'Tournament Details'!$C:$AA,25,FALSE)),""))</f>
        <v/>
      </c>
    </row>
    <row r="45" spans="1:27" ht="15" customHeight="1" thickBot="1" x14ac:dyDescent="0.35">
      <c r="A45" s="224" t="str">
        <f>IF('Tournament Details'!A1&gt;=1,IF(LARGE('Tournament Details'!C7:C86,1)&gt;=44,22,""),"")</f>
        <v/>
      </c>
      <c r="B45" s="42">
        <f t="shared" si="5"/>
        <v>0</v>
      </c>
      <c r="C45" s="44" t="str">
        <f t="shared" si="4"/>
        <v/>
      </c>
      <c r="D45" s="66" t="str">
        <f>IF('Tournament Details'!A1&gt;=1,IF('Tournament Details'!C49&lt;=LARGE('Round 4'!$C:$C,1),VLOOKUP(SMALL('Round 4'!$C:$C,43),'Round 4'!$C:$D,2,FALSE),""),"")</f>
        <v/>
      </c>
      <c r="E45" s="44" t="str">
        <f>IF(D45="","",B45+VLOOKUP(D45,'Round 4'!$D:$E,2,FALSE))</f>
        <v/>
      </c>
      <c r="F45" s="44" t="str">
        <f>IF(D45="","",(LARGE('Tournament Details'!$C:$C,1)+1-D45)+E45)</f>
        <v/>
      </c>
      <c r="G45" s="23" t="str">
        <f>D46</f>
        <v/>
      </c>
      <c r="H45" s="25" t="str">
        <f>IF(D45="","",IF(VLOOKUP(D45,'Tournament Details'!$C:$G,5,FALSE)="",D45,VLOOKUP(D45,'Tournament Details'!$C:$G,5,FALSE)))</f>
        <v/>
      </c>
      <c r="I45" s="7" t="str">
        <f>IF(D45=0,"",IF(VLOOKUP(D45,'Tournament Details'!$C:$E,3,FALSE)&gt;0,VLOOKUP(D45,'Tournament Details'!$C:$E,3,FALSE),""))</f>
        <v/>
      </c>
      <c r="J45" s="129"/>
      <c r="K45" s="129"/>
      <c r="L45" s="23"/>
      <c r="M45" s="23"/>
      <c r="N45" s="23"/>
      <c r="O45" s="23"/>
      <c r="P45" s="192">
        <v>0</v>
      </c>
      <c r="Q45" s="183">
        <f t="shared" si="6"/>
        <v>0</v>
      </c>
      <c r="R45" s="135" t="str">
        <f t="shared" si="7"/>
        <v/>
      </c>
      <c r="S45" s="135" t="str">
        <f>IF(Q45="","",IF(Q45+Q46&lt;&gt;20,IF(Q45+Q46&lt;&gt;0,"!",""),""))</f>
        <v/>
      </c>
      <c r="T45" s="21" t="str">
        <f t="shared" si="8"/>
        <v/>
      </c>
      <c r="U45" s="132">
        <f>IF(D45="",0,VLOOKUP(D45,'Tournament Details'!$C:$X,22,FALSE))</f>
        <v>0</v>
      </c>
      <c r="V45" s="132">
        <f>IF(D45="",0,VLOOKUP(D45,'Tournament Details'!$C:$Y,23,FALSE))</f>
        <v>0</v>
      </c>
      <c r="W45" s="132">
        <f>IF(D45="",0,VLOOKUP(D45,'Tournament Details'!$C:$Z,24,FALSE))</f>
        <v>0</v>
      </c>
      <c r="X45" s="132">
        <f>IF(D45="",0,VLOOKUP(D45,'Tournament Details'!$C:$AA,25,FALSE))</f>
        <v>0</v>
      </c>
      <c r="Y45" s="40" t="str">
        <f>IF(D45="","",IF(COUNTIF(D:D,D45)&gt;1,"DUPLICATE PLAYER",IF(D46="","NO OPPONENT",IF(D46=U45,"REPEAT MATCHUP",IF(D46=V45,"REPEAT MATCHUP",IF(D46=W45,"REPEAT MATCHUP",IF(D46=X45,"REPEAT MATCHUP",IF(H45=H46,"SAME TEAM",""))))))))</f>
        <v/>
      </c>
      <c r="Z45" s="40"/>
      <c r="AA45" t="str">
        <f>IF(Y45="NO OPPONENT","",IF(Y45&lt;&gt;"",CONCATENATE("Previous Matchup Player #: ",VLOOKUP(D45,'Tournament Details'!$C:$X,22,FALSE)," - ",VLOOKUP(D45,'Tournament Details'!$C:$Y,23,FALSE)," - ",VLOOKUP(D45,'Tournament Details'!$C:$Z,24,FALSE)," - ",VLOOKUP(D45,'Tournament Details'!$C:$AA,25,FALSE)),""))</f>
        <v/>
      </c>
    </row>
    <row r="46" spans="1:27" ht="15" customHeight="1" thickBot="1" x14ac:dyDescent="0.35">
      <c r="A46" s="224"/>
      <c r="B46" s="43">
        <f t="shared" si="5"/>
        <v>0</v>
      </c>
      <c r="C46" s="44" t="str">
        <f t="shared" si="4"/>
        <v/>
      </c>
      <c r="D46" s="74" t="str">
        <f>IF('Tournament Details'!A1&gt;=1,IF('Tournament Details'!C50&lt;=LARGE('Round 4'!$C:$C,1),VLOOKUP(SMALL('Round 4'!$C:$C,44),'Round 4'!$C:$D,2,FALSE),""),"")</f>
        <v/>
      </c>
      <c r="E46" s="44" t="str">
        <f>IF(D46="","",B46+VLOOKUP(D46,'Round 4'!$D:$E,2,FALSE))</f>
        <v/>
      </c>
      <c r="F46" s="44" t="str">
        <f>IF(D46="","",(LARGE('Tournament Details'!$C:$C,1)+1-D46)+E46)</f>
        <v/>
      </c>
      <c r="G46" s="24" t="str">
        <f>D45</f>
        <v/>
      </c>
      <c r="H46" s="26" t="str">
        <f>IF(D46="","",IF(VLOOKUP(D46,'Tournament Details'!$C:$G,5,FALSE)="",D46,VLOOKUP(D46,'Tournament Details'!$C:$G,5,FALSE)))</f>
        <v/>
      </c>
      <c r="I46" s="12" t="str">
        <f>IF(D46=0,"",IF(VLOOKUP(D46,'Tournament Details'!$C:$E,3,FALSE)&gt;0,VLOOKUP(D46,'Tournament Details'!$C:$E,3,FALSE),""))</f>
        <v/>
      </c>
      <c r="J46" s="130"/>
      <c r="K46" s="130"/>
      <c r="L46" s="23"/>
      <c r="M46" s="24"/>
      <c r="N46" s="24"/>
      <c r="O46" s="24"/>
      <c r="P46" s="193">
        <v>0</v>
      </c>
      <c r="Q46" s="183">
        <f t="shared" si="6"/>
        <v>0</v>
      </c>
      <c r="R46" s="135" t="str">
        <f t="shared" si="7"/>
        <v/>
      </c>
      <c r="S46" s="135" t="str">
        <f>IF(Q46="","",IF(Q45+Q46&lt;&gt;20,IF(Q45+Q46&lt;&gt;0,"!",""),""))</f>
        <v/>
      </c>
      <c r="T46" s="21" t="str">
        <f t="shared" si="8"/>
        <v/>
      </c>
      <c r="U46" s="132">
        <f>IF(D46="",0,VLOOKUP(D46,'Tournament Details'!$C:$X,22,FALSE))</f>
        <v>0</v>
      </c>
      <c r="V46" s="132">
        <f>IF(D46="",0,VLOOKUP(D46,'Tournament Details'!$C:$Y,23,FALSE))</f>
        <v>0</v>
      </c>
      <c r="W46" s="132">
        <f>IF(D46="",0,VLOOKUP(D46,'Tournament Details'!$C:$Z,24,FALSE))</f>
        <v>0</v>
      </c>
      <c r="X46" s="132">
        <f>IF(D46="",0,VLOOKUP(D46,'Tournament Details'!$C:$AA,25,FALSE))</f>
        <v>0</v>
      </c>
      <c r="Y46" s="40" t="str">
        <f>IF(D46="","",IF(COUNTIF(D:D,D46)&gt;1,"DUPLICATE PLAYER",IF(D45="","NO OPPONENT",IF(D45=U46,"REPEAT MATCHUP",IF(D45=V46,"REPEAT MATCHUP",IF(D45=W46,"REPEAT MATCHUP",IF(D45=X46,"REPEAT MATCHUP",IF(H46=H45,"SAME TEAM",""))))))))</f>
        <v/>
      </c>
      <c r="Z46" s="40"/>
      <c r="AA46" t="str">
        <f>IF(Y46="NO OPPONENT","",IF(Y46&lt;&gt;"",CONCATENATE("Previous Matchup Player #: ",VLOOKUP(D46,'Tournament Details'!$C:$X,22,FALSE)," - ",VLOOKUP(D46,'Tournament Details'!$C:$Y,23,FALSE)," - ",VLOOKUP(D46,'Tournament Details'!$C:$Z,24,FALSE)," - ",VLOOKUP(D46,'Tournament Details'!$C:$AA,25,FALSE)),""))</f>
        <v/>
      </c>
    </row>
    <row r="47" spans="1:27" ht="15" customHeight="1" thickBot="1" x14ac:dyDescent="0.35">
      <c r="A47" s="224" t="str">
        <f>IF('Tournament Details'!A1&gt;=1,IF(LARGE('Tournament Details'!C7:C86,1)&gt;=46,23,""),"")</f>
        <v/>
      </c>
      <c r="B47" s="42">
        <f t="shared" si="5"/>
        <v>0</v>
      </c>
      <c r="C47" s="44" t="str">
        <f t="shared" si="4"/>
        <v/>
      </c>
      <c r="D47" s="66" t="str">
        <f>IF('Tournament Details'!A1&gt;=1,IF('Tournament Details'!C51&lt;=LARGE('Round 4'!$C:$C,1),VLOOKUP(SMALL('Round 4'!$C:$C,45),'Round 4'!$C:$D,2,FALSE),""),"")</f>
        <v/>
      </c>
      <c r="E47" s="44" t="str">
        <f>IF(D47="","",B47+VLOOKUP(D47,'Round 4'!$D:$E,2,FALSE))</f>
        <v/>
      </c>
      <c r="F47" s="44" t="str">
        <f>IF(D47="","",(LARGE('Tournament Details'!$C:$C,1)+1-D47)+E47)</f>
        <v/>
      </c>
      <c r="G47" s="23" t="str">
        <f>D48</f>
        <v/>
      </c>
      <c r="H47" s="25" t="str">
        <f>IF(D47="","",IF(VLOOKUP(D47,'Tournament Details'!$C:$G,5,FALSE)="",D47,VLOOKUP(D47,'Tournament Details'!$C:$G,5,FALSE)))</f>
        <v/>
      </c>
      <c r="I47" s="7" t="str">
        <f>IF(D47=0,"",IF(VLOOKUP(D47,'Tournament Details'!$C:$E,3,FALSE)&gt;0,VLOOKUP(D47,'Tournament Details'!$C:$E,3,FALSE),""))</f>
        <v/>
      </c>
      <c r="J47" s="129"/>
      <c r="K47" s="129"/>
      <c r="L47" s="23"/>
      <c r="M47" s="23"/>
      <c r="N47" s="23"/>
      <c r="O47" s="23"/>
      <c r="P47" s="192">
        <v>0</v>
      </c>
      <c r="Q47" s="183">
        <f t="shared" si="6"/>
        <v>0</v>
      </c>
      <c r="R47" s="135" t="str">
        <f t="shared" si="7"/>
        <v/>
      </c>
      <c r="S47" s="135" t="str">
        <f>IF(Q47="","",IF(Q47+Q48&lt;&gt;20,IF(Q47+Q48&lt;&gt;0,"!",""),""))</f>
        <v/>
      </c>
      <c r="T47" s="21" t="str">
        <f t="shared" si="8"/>
        <v/>
      </c>
      <c r="U47" s="132">
        <f>IF(D47="",0,VLOOKUP(D47,'Tournament Details'!$C:$X,22,FALSE))</f>
        <v>0</v>
      </c>
      <c r="V47" s="132">
        <f>IF(D47="",0,VLOOKUP(D47,'Tournament Details'!$C:$Y,23,FALSE))</f>
        <v>0</v>
      </c>
      <c r="W47" s="132">
        <f>IF(D47="",0,VLOOKUP(D47,'Tournament Details'!$C:$Z,24,FALSE))</f>
        <v>0</v>
      </c>
      <c r="X47" s="132">
        <f>IF(D47="",0,VLOOKUP(D47,'Tournament Details'!$C:$AA,25,FALSE))</f>
        <v>0</v>
      </c>
      <c r="Y47" s="40" t="str">
        <f>IF(D47="","",IF(COUNTIF(D:D,D47)&gt;1,"DUPLICATE PLAYER",IF(D48="","NO OPPONENT",IF(D48=U47,"REPEAT MATCHUP",IF(D48=V47,"REPEAT MATCHUP",IF(D48=W47,"REPEAT MATCHUP",IF(D48=X47,"REPEAT MATCHUP",IF(H47=H48,"SAME TEAM",""))))))))</f>
        <v/>
      </c>
      <c r="Z47" s="40"/>
      <c r="AA47" t="str">
        <f>IF(Y47="NO OPPONENT","",IF(Y47&lt;&gt;"",CONCATENATE("Previous Matchup Player #: ",VLOOKUP(D47,'Tournament Details'!$C:$X,22,FALSE)," - ",VLOOKUP(D47,'Tournament Details'!$C:$Y,23,FALSE)," - ",VLOOKUP(D47,'Tournament Details'!$C:$Z,24,FALSE)," - ",VLOOKUP(D47,'Tournament Details'!$C:$AA,25,FALSE)),""))</f>
        <v/>
      </c>
    </row>
    <row r="48" spans="1:27" ht="15" customHeight="1" thickBot="1" x14ac:dyDescent="0.35">
      <c r="A48" s="224"/>
      <c r="B48" s="43">
        <f t="shared" si="5"/>
        <v>0</v>
      </c>
      <c r="C48" s="44" t="str">
        <f t="shared" si="4"/>
        <v/>
      </c>
      <c r="D48" s="74" t="str">
        <f>IF('Tournament Details'!A1&gt;=1,IF('Tournament Details'!C52&lt;=LARGE('Round 4'!$C:$C,1),VLOOKUP(SMALL('Round 4'!$C:$C,46),'Round 4'!$C:$D,2,FALSE),""),"")</f>
        <v/>
      </c>
      <c r="E48" s="44" t="str">
        <f>IF(D48="","",B48+VLOOKUP(D48,'Round 4'!$D:$E,2,FALSE))</f>
        <v/>
      </c>
      <c r="F48" s="44" t="str">
        <f>IF(D48="","",(LARGE('Tournament Details'!$C:$C,1)+1-D48)+E48)</f>
        <v/>
      </c>
      <c r="G48" s="24" t="str">
        <f>D47</f>
        <v/>
      </c>
      <c r="H48" s="26" t="str">
        <f>IF(D48="","",IF(VLOOKUP(D48,'Tournament Details'!$C:$G,5,FALSE)="",D48,VLOOKUP(D48,'Tournament Details'!$C:$G,5,FALSE)))</f>
        <v/>
      </c>
      <c r="I48" s="12" t="str">
        <f>IF(D48=0,"",IF(VLOOKUP(D48,'Tournament Details'!$C:$E,3,FALSE)&gt;0,VLOOKUP(D48,'Tournament Details'!$C:$E,3,FALSE),""))</f>
        <v/>
      </c>
      <c r="J48" s="130"/>
      <c r="K48" s="130"/>
      <c r="L48" s="23"/>
      <c r="M48" s="24"/>
      <c r="N48" s="24"/>
      <c r="O48" s="24"/>
      <c r="P48" s="193">
        <v>0</v>
      </c>
      <c r="Q48" s="183">
        <f t="shared" si="6"/>
        <v>0</v>
      </c>
      <c r="R48" s="135" t="str">
        <f t="shared" si="7"/>
        <v/>
      </c>
      <c r="S48" s="135" t="str">
        <f>IF(Q48="","",IF(Q47+Q48&lt;&gt;20,IF(Q47+Q48&lt;&gt;0,"!",""),""))</f>
        <v/>
      </c>
      <c r="T48" s="21" t="str">
        <f t="shared" si="8"/>
        <v/>
      </c>
      <c r="U48" s="132">
        <f>IF(D48="",0,VLOOKUP(D48,'Tournament Details'!$C:$X,22,FALSE))</f>
        <v>0</v>
      </c>
      <c r="V48" s="132">
        <f>IF(D48="",0,VLOOKUP(D48,'Tournament Details'!$C:$Y,23,FALSE))</f>
        <v>0</v>
      </c>
      <c r="W48" s="132">
        <f>IF(D48="",0,VLOOKUP(D48,'Tournament Details'!$C:$Z,24,FALSE))</f>
        <v>0</v>
      </c>
      <c r="X48" s="132">
        <f>IF(D48="",0,VLOOKUP(D48,'Tournament Details'!$C:$AA,25,FALSE))</f>
        <v>0</v>
      </c>
      <c r="Y48" s="40" t="str">
        <f>IF(D48="","",IF(COUNTIF(D:D,D48)&gt;1,"DUPLICATE PLAYER",IF(D47="","NO OPPONENT",IF(D47=U48,"REPEAT MATCHUP",IF(D47=V48,"REPEAT MATCHUP",IF(D47=W48,"REPEAT MATCHUP",IF(D47=X48,"REPEAT MATCHUP",IF(H48=H47,"SAME TEAM",""))))))))</f>
        <v/>
      </c>
      <c r="Z48" s="40"/>
      <c r="AA48" t="str">
        <f>IF(Y48="NO OPPONENT","",IF(Y48&lt;&gt;"",CONCATENATE("Previous Matchup Player #: ",VLOOKUP(D48,'Tournament Details'!$C:$X,22,FALSE)," - ",VLOOKUP(D48,'Tournament Details'!$C:$Y,23,FALSE)," - ",VLOOKUP(D48,'Tournament Details'!$C:$Z,24,FALSE)," - ",VLOOKUP(D48,'Tournament Details'!$C:$AA,25,FALSE)),""))</f>
        <v/>
      </c>
    </row>
    <row r="49" spans="1:27" ht="15" customHeight="1" thickBot="1" x14ac:dyDescent="0.35">
      <c r="A49" s="224" t="str">
        <f>IF('Tournament Details'!A1&gt;=1,IF(LARGE('Tournament Details'!C7:C86,1)&gt;=48,24,""),"")</f>
        <v/>
      </c>
      <c r="B49" s="42">
        <f t="shared" si="5"/>
        <v>0</v>
      </c>
      <c r="C49" s="44" t="str">
        <f t="shared" si="4"/>
        <v/>
      </c>
      <c r="D49" s="66" t="str">
        <f>IF('Tournament Details'!A1&gt;=1,IF('Tournament Details'!C53&lt;=LARGE('Round 4'!$C:$C,1),VLOOKUP(SMALL('Round 4'!$C:$C,47),'Round 4'!$C:$D,2,FALSE),""),"")</f>
        <v/>
      </c>
      <c r="E49" s="44" t="str">
        <f>IF(D49="","",B49+VLOOKUP(D49,'Round 4'!$D:$E,2,FALSE))</f>
        <v/>
      </c>
      <c r="F49" s="44" t="str">
        <f>IF(D49="","",(LARGE('Tournament Details'!$C:$C,1)+1-D49)+E49)</f>
        <v/>
      </c>
      <c r="G49" s="23" t="str">
        <f>D50</f>
        <v/>
      </c>
      <c r="H49" s="25" t="str">
        <f>IF(D49="","",IF(VLOOKUP(D49,'Tournament Details'!$C:$G,5,FALSE)="",D49,VLOOKUP(D49,'Tournament Details'!$C:$G,5,FALSE)))</f>
        <v/>
      </c>
      <c r="I49" s="7" t="str">
        <f>IF(D49=0,"",IF(VLOOKUP(D49,'Tournament Details'!$C:$E,3,FALSE)&gt;0,VLOOKUP(D49,'Tournament Details'!$C:$E,3,FALSE),""))</f>
        <v/>
      </c>
      <c r="J49" s="129"/>
      <c r="K49" s="129"/>
      <c r="L49" s="23"/>
      <c r="M49" s="23"/>
      <c r="N49" s="23"/>
      <c r="O49" s="23"/>
      <c r="P49" s="192">
        <v>0</v>
      </c>
      <c r="Q49" s="183">
        <f t="shared" si="6"/>
        <v>0</v>
      </c>
      <c r="R49" s="135" t="str">
        <f t="shared" si="7"/>
        <v/>
      </c>
      <c r="S49" s="135" t="str">
        <f>IF(Q49="","",IF(Q49+Q50&lt;&gt;20,IF(Q49+Q50&lt;&gt;0,"!",""),""))</f>
        <v/>
      </c>
      <c r="T49" s="21" t="str">
        <f t="shared" si="8"/>
        <v/>
      </c>
      <c r="U49" s="132">
        <f>IF(D49="",0,VLOOKUP(D49,'Tournament Details'!$C:$X,22,FALSE))</f>
        <v>0</v>
      </c>
      <c r="V49" s="132">
        <f>IF(D49="",0,VLOOKUP(D49,'Tournament Details'!$C:$Y,23,FALSE))</f>
        <v>0</v>
      </c>
      <c r="W49" s="132">
        <f>IF(D49="",0,VLOOKUP(D49,'Tournament Details'!$C:$Z,24,FALSE))</f>
        <v>0</v>
      </c>
      <c r="X49" s="132">
        <f>IF(D49="",0,VLOOKUP(D49,'Tournament Details'!$C:$AA,25,FALSE))</f>
        <v>0</v>
      </c>
      <c r="Y49" s="40" t="str">
        <f>IF(D49="","",IF(COUNTIF(D:D,D49)&gt;1,"DUPLICATE PLAYER",IF(D50="","NO OPPONENT",IF(D50=U49,"REPEAT MATCHUP",IF(D50=V49,"REPEAT MATCHUP",IF(D50=W49,"REPEAT MATCHUP",IF(D50=X49,"REPEAT MATCHUP",IF(H49=H50,"SAME TEAM",""))))))))</f>
        <v/>
      </c>
      <c r="Z49" s="40"/>
      <c r="AA49" t="str">
        <f>IF(Y49="NO OPPONENT","",IF(Y49&lt;&gt;"",CONCATENATE("Previous Matchup Player #: ",VLOOKUP(D49,'Tournament Details'!$C:$X,22,FALSE)," - ",VLOOKUP(D49,'Tournament Details'!$C:$Y,23,FALSE)," - ",VLOOKUP(D49,'Tournament Details'!$C:$Z,24,FALSE)," - ",VLOOKUP(D49,'Tournament Details'!$C:$AA,25,FALSE)),""))</f>
        <v/>
      </c>
    </row>
    <row r="50" spans="1:27" ht="15" customHeight="1" thickBot="1" x14ac:dyDescent="0.35">
      <c r="A50" s="224"/>
      <c r="B50" s="43">
        <f t="shared" si="5"/>
        <v>0</v>
      </c>
      <c r="C50" s="44" t="str">
        <f t="shared" si="4"/>
        <v/>
      </c>
      <c r="D50" s="74" t="str">
        <f>IF('Tournament Details'!A1&gt;=1,IF('Tournament Details'!C54&lt;=LARGE('Round 4'!$C:$C,1),VLOOKUP(SMALL('Round 4'!$C:$C,48),'Round 4'!$C:$D,2,FALSE),""),"")</f>
        <v/>
      </c>
      <c r="E50" s="44" t="str">
        <f>IF(D50="","",B50+VLOOKUP(D50,'Round 4'!$D:$E,2,FALSE))</f>
        <v/>
      </c>
      <c r="F50" s="44" t="str">
        <f>IF(D50="","",(LARGE('Tournament Details'!$C:$C,1)+1-D50)+E50)</f>
        <v/>
      </c>
      <c r="G50" s="24" t="str">
        <f>D49</f>
        <v/>
      </c>
      <c r="H50" s="26" t="str">
        <f>IF(D50="","",IF(VLOOKUP(D50,'Tournament Details'!$C:$G,5,FALSE)="",D50,VLOOKUP(D50,'Tournament Details'!$C:$G,5,FALSE)))</f>
        <v/>
      </c>
      <c r="I50" s="12" t="str">
        <f>IF(D50=0,"",IF(VLOOKUP(D50,'Tournament Details'!$C:$E,3,FALSE)&gt;0,VLOOKUP(D50,'Tournament Details'!$C:$E,3,FALSE),""))</f>
        <v/>
      </c>
      <c r="J50" s="130"/>
      <c r="K50" s="130"/>
      <c r="L50" s="23"/>
      <c r="M50" s="24"/>
      <c r="N50" s="24"/>
      <c r="O50" s="24"/>
      <c r="P50" s="193">
        <v>0</v>
      </c>
      <c r="Q50" s="183">
        <f t="shared" si="6"/>
        <v>0</v>
      </c>
      <c r="R50" s="135" t="str">
        <f t="shared" si="7"/>
        <v/>
      </c>
      <c r="S50" s="135" t="str">
        <f>IF(Q50="","",IF(Q49+Q50&lt;&gt;20,IF(Q49+Q50&lt;&gt;0,"!",""),""))</f>
        <v/>
      </c>
      <c r="T50" s="21" t="str">
        <f t="shared" si="8"/>
        <v/>
      </c>
      <c r="U50" s="132">
        <f>IF(D50="",0,VLOOKUP(D50,'Tournament Details'!$C:$X,22,FALSE))</f>
        <v>0</v>
      </c>
      <c r="V50" s="132">
        <f>IF(D50="",0,VLOOKUP(D50,'Tournament Details'!$C:$Y,23,FALSE))</f>
        <v>0</v>
      </c>
      <c r="W50" s="132">
        <f>IF(D50="",0,VLOOKUP(D50,'Tournament Details'!$C:$Z,24,FALSE))</f>
        <v>0</v>
      </c>
      <c r="X50" s="132">
        <f>IF(D50="",0,VLOOKUP(D50,'Tournament Details'!$C:$AA,25,FALSE))</f>
        <v>0</v>
      </c>
      <c r="Y50" s="40" t="str">
        <f>IF(D50="","",IF(COUNTIF(D:D,D50)&gt;1,"DUPLICATE PLAYER",IF(D49="","NO OPPONENT",IF(D49=U50,"REPEAT MATCHUP",IF(D49=V50,"REPEAT MATCHUP",IF(D49=W50,"REPEAT MATCHUP",IF(D49=X50,"REPEAT MATCHUP",IF(H50=H49,"SAME TEAM",""))))))))</f>
        <v/>
      </c>
      <c r="Z50" s="40"/>
      <c r="AA50" t="str">
        <f>IF(Y50="NO OPPONENT","",IF(Y50&lt;&gt;"",CONCATENATE("Previous Matchup Player #: ",VLOOKUP(D50,'Tournament Details'!$C:$X,22,FALSE)," - ",VLOOKUP(D50,'Tournament Details'!$C:$Y,23,FALSE)," - ",VLOOKUP(D50,'Tournament Details'!$C:$Z,24,FALSE)," - ",VLOOKUP(D50,'Tournament Details'!$C:$AA,25,FALSE)),""))</f>
        <v/>
      </c>
    </row>
    <row r="51" spans="1:27" ht="15" customHeight="1" thickBot="1" x14ac:dyDescent="0.35">
      <c r="A51" s="224" t="str">
        <f>IF('Tournament Details'!A1&gt;=1,IF(LARGE('Tournament Details'!C7:C86,1)&gt;=50,25,""),"")</f>
        <v/>
      </c>
      <c r="B51" s="42">
        <f t="shared" si="5"/>
        <v>0</v>
      </c>
      <c r="C51" s="44" t="str">
        <f t="shared" si="4"/>
        <v/>
      </c>
      <c r="D51" s="66" t="str">
        <f>IF('Tournament Details'!A1&gt;=1,IF('Tournament Details'!C55&lt;=LARGE('Round 4'!$C:$C,1),VLOOKUP(SMALL('Round 4'!$C:$C,49),'Round 4'!$C:$D,2,FALSE),""),"")</f>
        <v/>
      </c>
      <c r="E51" s="44" t="str">
        <f>IF(D51="","",B51+VLOOKUP(D51,'Round 4'!$D:$E,2,FALSE))</f>
        <v/>
      </c>
      <c r="F51" s="44" t="str">
        <f>IF(D51="","",(LARGE('Tournament Details'!$C:$C,1)+1-D51)+E51)</f>
        <v/>
      </c>
      <c r="G51" s="23" t="str">
        <f>D52</f>
        <v/>
      </c>
      <c r="H51" s="25" t="str">
        <f>IF(D51="","",IF(VLOOKUP(D51,'Tournament Details'!$C:$G,5,FALSE)="",D51,VLOOKUP(D51,'Tournament Details'!$C:$G,5,FALSE)))</f>
        <v/>
      </c>
      <c r="I51" s="7" t="str">
        <f>IF(D51=0,"",IF(VLOOKUP(D51,'Tournament Details'!$C:$E,3,FALSE)&gt;0,VLOOKUP(D51,'Tournament Details'!$C:$E,3,FALSE),""))</f>
        <v/>
      </c>
      <c r="J51" s="129"/>
      <c r="K51" s="129"/>
      <c r="L51" s="23"/>
      <c r="M51" s="23"/>
      <c r="N51" s="23"/>
      <c r="O51" s="23"/>
      <c r="P51" s="192">
        <v>0</v>
      </c>
      <c r="Q51" s="183">
        <f t="shared" si="6"/>
        <v>0</v>
      </c>
      <c r="R51" s="135" t="str">
        <f t="shared" si="7"/>
        <v/>
      </c>
      <c r="S51" s="135" t="str">
        <f>IF(Q51="","",IF(Q51+Q52&lt;&gt;20,IF(Q51+Q52&lt;&gt;0,"!",""),""))</f>
        <v/>
      </c>
      <c r="T51" s="21" t="str">
        <f t="shared" si="8"/>
        <v/>
      </c>
      <c r="U51" s="132">
        <f>IF(D51="",0,VLOOKUP(D51,'Tournament Details'!$C:$X,22,FALSE))</f>
        <v>0</v>
      </c>
      <c r="V51" s="132">
        <f>IF(D51="",0,VLOOKUP(D51,'Tournament Details'!$C:$Y,23,FALSE))</f>
        <v>0</v>
      </c>
      <c r="W51" s="132">
        <f>IF(D51="",0,VLOOKUP(D51,'Tournament Details'!$C:$Z,24,FALSE))</f>
        <v>0</v>
      </c>
      <c r="X51" s="132">
        <f>IF(D51="",0,VLOOKUP(D51,'Tournament Details'!$C:$AA,25,FALSE))</f>
        <v>0</v>
      </c>
      <c r="Y51" s="40" t="str">
        <f>IF(D51="","",IF(COUNTIF(D:D,D51)&gt;1,"DUPLICATE PLAYER",IF(D52="","NO OPPONENT",IF(D52=U51,"REPEAT MATCHUP",IF(D52=V51,"REPEAT MATCHUP",IF(D52=W51,"REPEAT MATCHUP",IF(D52=X51,"REPEAT MATCHUP",IF(H51=H52,"SAME TEAM",""))))))))</f>
        <v/>
      </c>
      <c r="Z51" s="40"/>
      <c r="AA51" t="str">
        <f>IF(Y51="NO OPPONENT","",IF(Y51&lt;&gt;"",CONCATENATE("Previous Matchup Player #: ",VLOOKUP(D51,'Tournament Details'!$C:$X,22,FALSE)," - ",VLOOKUP(D51,'Tournament Details'!$C:$Y,23,FALSE)," - ",VLOOKUP(D51,'Tournament Details'!$C:$Z,24,FALSE)," - ",VLOOKUP(D51,'Tournament Details'!$C:$AA,25,FALSE)),""))</f>
        <v/>
      </c>
    </row>
    <row r="52" spans="1:27" ht="15" customHeight="1" thickBot="1" x14ac:dyDescent="0.35">
      <c r="A52" s="224"/>
      <c r="B52" s="43">
        <f t="shared" si="5"/>
        <v>0</v>
      </c>
      <c r="C52" s="44" t="str">
        <f t="shared" si="4"/>
        <v/>
      </c>
      <c r="D52" s="74" t="str">
        <f>IF('Tournament Details'!A1&gt;=1,IF('Tournament Details'!C56&lt;=LARGE('Round 4'!$C:$C,1),VLOOKUP(SMALL('Round 4'!$C:$C,50),'Round 4'!$C:$D,2,FALSE),""),"")</f>
        <v/>
      </c>
      <c r="E52" s="44" t="str">
        <f>IF(D52="","",B52+VLOOKUP(D52,'Round 4'!$D:$E,2,FALSE))</f>
        <v/>
      </c>
      <c r="F52" s="44" t="str">
        <f>IF(D52="","",(LARGE('Tournament Details'!$C:$C,1)+1-D52)+E52)</f>
        <v/>
      </c>
      <c r="G52" s="24" t="str">
        <f>D51</f>
        <v/>
      </c>
      <c r="H52" s="26" t="str">
        <f>IF(D52="","",IF(VLOOKUP(D52,'Tournament Details'!$C:$G,5,FALSE)="",D52,VLOOKUP(D52,'Tournament Details'!$C:$G,5,FALSE)))</f>
        <v/>
      </c>
      <c r="I52" s="12" t="str">
        <f>IF(D52=0,"",IF(VLOOKUP(D52,'Tournament Details'!$C:$E,3,FALSE)&gt;0,VLOOKUP(D52,'Tournament Details'!$C:$E,3,FALSE),""))</f>
        <v/>
      </c>
      <c r="J52" s="130"/>
      <c r="K52" s="130"/>
      <c r="L52" s="23"/>
      <c r="M52" s="24"/>
      <c r="N52" s="24"/>
      <c r="O52" s="24"/>
      <c r="P52" s="193">
        <v>0</v>
      </c>
      <c r="Q52" s="183">
        <f t="shared" si="6"/>
        <v>0</v>
      </c>
      <c r="R52" s="135" t="str">
        <f t="shared" si="7"/>
        <v/>
      </c>
      <c r="S52" s="135" t="str">
        <f>IF(Q52="","",IF(Q51+Q52&lt;&gt;20,IF(Q51+Q52&lt;&gt;0,"!",""),""))</f>
        <v/>
      </c>
      <c r="T52" s="21" t="str">
        <f t="shared" si="8"/>
        <v/>
      </c>
      <c r="U52" s="132">
        <f>IF(D52="",0,VLOOKUP(D52,'Tournament Details'!$C:$X,22,FALSE))</f>
        <v>0</v>
      </c>
      <c r="V52" s="132">
        <f>IF(D52="",0,VLOOKUP(D52,'Tournament Details'!$C:$Y,23,FALSE))</f>
        <v>0</v>
      </c>
      <c r="W52" s="132">
        <f>IF(D52="",0,VLOOKUP(D52,'Tournament Details'!$C:$Z,24,FALSE))</f>
        <v>0</v>
      </c>
      <c r="X52" s="132">
        <f>IF(D52="",0,VLOOKUP(D52,'Tournament Details'!$C:$AA,25,FALSE))</f>
        <v>0</v>
      </c>
      <c r="Y52" s="40" t="str">
        <f>IF(D52="","",IF(COUNTIF(D:D,D52)&gt;1,"DUPLICATE PLAYER",IF(D51="","NO OPPONENT",IF(D51=U52,"REPEAT MATCHUP",IF(D51=V52,"REPEAT MATCHUP",IF(D51=W52,"REPEAT MATCHUP",IF(D51=X52,"REPEAT MATCHUP",IF(H52=H51,"SAME TEAM",""))))))))</f>
        <v/>
      </c>
      <c r="Z52" s="40"/>
      <c r="AA52" t="str">
        <f>IF(Y52="NO OPPONENT","",IF(Y52&lt;&gt;"",CONCATENATE("Previous Matchup Player #: ",VLOOKUP(D52,'Tournament Details'!$C:$X,22,FALSE)," - ",VLOOKUP(D52,'Tournament Details'!$C:$Y,23,FALSE)," - ",VLOOKUP(D52,'Tournament Details'!$C:$Z,24,FALSE)," - ",VLOOKUP(D52,'Tournament Details'!$C:$AA,25,FALSE)),""))</f>
        <v/>
      </c>
    </row>
    <row r="53" spans="1:27" ht="15" customHeight="1" thickBot="1" x14ac:dyDescent="0.35">
      <c r="A53" s="224" t="str">
        <f>IF('Tournament Details'!A1&gt;=1,IF(LARGE('Tournament Details'!C7:C86,1)&gt;=52,26,""),"")</f>
        <v/>
      </c>
      <c r="B53" s="42">
        <f t="shared" si="5"/>
        <v>0</v>
      </c>
      <c r="C53" s="44" t="str">
        <f t="shared" si="4"/>
        <v/>
      </c>
      <c r="D53" s="66" t="str">
        <f>IF('Tournament Details'!A1&gt;=1,IF('Tournament Details'!C57&lt;=LARGE('Round 4'!$C:$C,1),VLOOKUP(SMALL('Round 4'!$C:$C,51),'Round 4'!$C:$D,2,FALSE),""),"")</f>
        <v/>
      </c>
      <c r="E53" s="44" t="str">
        <f>IF(D53="","",B53+VLOOKUP(D53,'Round 4'!$D:$E,2,FALSE))</f>
        <v/>
      </c>
      <c r="F53" s="44" t="str">
        <f>IF(D53="","",(LARGE('Tournament Details'!$C:$C,1)+1-D53)+E53)</f>
        <v/>
      </c>
      <c r="G53" s="23" t="str">
        <f>D54</f>
        <v/>
      </c>
      <c r="H53" s="25" t="str">
        <f>IF(D53="","",IF(VLOOKUP(D53,'Tournament Details'!$C:$G,5,FALSE)="",D53,VLOOKUP(D53,'Tournament Details'!$C:$G,5,FALSE)))</f>
        <v/>
      </c>
      <c r="I53" s="7" t="str">
        <f>IF(D53=0,"",IF(VLOOKUP(D53,'Tournament Details'!$C:$E,3,FALSE)&gt;0,VLOOKUP(D53,'Tournament Details'!$C:$E,3,FALSE),""))</f>
        <v/>
      </c>
      <c r="J53" s="129"/>
      <c r="K53" s="129"/>
      <c r="L53" s="23"/>
      <c r="M53" s="23"/>
      <c r="N53" s="23"/>
      <c r="O53" s="23"/>
      <c r="P53" s="192">
        <v>0</v>
      </c>
      <c r="Q53" s="183">
        <f t="shared" si="6"/>
        <v>0</v>
      </c>
      <c r="R53" s="135" t="str">
        <f t="shared" si="7"/>
        <v/>
      </c>
      <c r="S53" s="135" t="str">
        <f>IF(Q53="","",IF(Q53+Q54&lt;&gt;20,IF(Q53+Q54&lt;&gt;0,"!",""),""))</f>
        <v/>
      </c>
      <c r="T53" s="21" t="str">
        <f t="shared" si="8"/>
        <v/>
      </c>
      <c r="U53" s="132">
        <f>IF(D53="",0,VLOOKUP(D53,'Tournament Details'!$C:$X,22,FALSE))</f>
        <v>0</v>
      </c>
      <c r="V53" s="132">
        <f>IF(D53="",0,VLOOKUP(D53,'Tournament Details'!$C:$Y,23,FALSE))</f>
        <v>0</v>
      </c>
      <c r="W53" s="132">
        <f>IF(D53="",0,VLOOKUP(D53,'Tournament Details'!$C:$Z,24,FALSE))</f>
        <v>0</v>
      </c>
      <c r="X53" s="132">
        <f>IF(D53="",0,VLOOKUP(D53,'Tournament Details'!$C:$AA,25,FALSE))</f>
        <v>0</v>
      </c>
      <c r="Y53" s="40" t="str">
        <f>IF(D53="","",IF(COUNTIF(D:D,D53)&gt;1,"DUPLICATE PLAYER",IF(D54="","NO OPPONENT",IF(D54=U53,"REPEAT MATCHUP",IF(D54=V53,"REPEAT MATCHUP",IF(D54=W53,"REPEAT MATCHUP",IF(D54=X53,"REPEAT MATCHUP",IF(H53=H54,"SAME TEAM",""))))))))</f>
        <v/>
      </c>
      <c r="Z53" s="40"/>
      <c r="AA53" t="str">
        <f>IF(Y53="NO OPPONENT","",IF(Y53&lt;&gt;"",CONCATENATE("Previous Matchup Player #: ",VLOOKUP(D53,'Tournament Details'!$C:$X,22,FALSE)," - ",VLOOKUP(D53,'Tournament Details'!$C:$Y,23,FALSE)," - ",VLOOKUP(D53,'Tournament Details'!$C:$Z,24,FALSE)," - ",VLOOKUP(D53,'Tournament Details'!$C:$AA,25,FALSE)),""))</f>
        <v/>
      </c>
    </row>
    <row r="54" spans="1:27" ht="15" customHeight="1" thickBot="1" x14ac:dyDescent="0.35">
      <c r="A54" s="224"/>
      <c r="B54" s="43">
        <f t="shared" si="5"/>
        <v>0</v>
      </c>
      <c r="C54" s="44" t="str">
        <f t="shared" si="4"/>
        <v/>
      </c>
      <c r="D54" s="74" t="str">
        <f>IF('Tournament Details'!A1&gt;=1,IF('Tournament Details'!C58&lt;=LARGE('Round 4'!$C:$C,1),VLOOKUP(SMALL('Round 4'!$C:$C,52),'Round 4'!$C:$D,2,FALSE),""),"")</f>
        <v/>
      </c>
      <c r="E54" s="44" t="str">
        <f>IF(D54="","",B54+VLOOKUP(D54,'Round 4'!$D:$E,2,FALSE))</f>
        <v/>
      </c>
      <c r="F54" s="44" t="str">
        <f>IF(D54="","",(LARGE('Tournament Details'!$C:$C,1)+1-D54)+E54)</f>
        <v/>
      </c>
      <c r="G54" s="24" t="str">
        <f>D53</f>
        <v/>
      </c>
      <c r="H54" s="26" t="str">
        <f>IF(D54="","",IF(VLOOKUP(D54,'Tournament Details'!$C:$G,5,FALSE)="",D54,VLOOKUP(D54,'Tournament Details'!$C:$G,5,FALSE)))</f>
        <v/>
      </c>
      <c r="I54" s="12" t="str">
        <f>IF(D54=0,"",IF(VLOOKUP(D54,'Tournament Details'!$C:$E,3,FALSE)&gt;0,VLOOKUP(D54,'Tournament Details'!$C:$E,3,FALSE),""))</f>
        <v/>
      </c>
      <c r="J54" s="130"/>
      <c r="K54" s="130"/>
      <c r="L54" s="23"/>
      <c r="M54" s="24"/>
      <c r="N54" s="24"/>
      <c r="O54" s="24"/>
      <c r="P54" s="193">
        <v>0</v>
      </c>
      <c r="Q54" s="183">
        <f t="shared" si="6"/>
        <v>0</v>
      </c>
      <c r="R54" s="135" t="str">
        <f t="shared" si="7"/>
        <v/>
      </c>
      <c r="S54" s="135" t="str">
        <f>IF(Q54="","",IF(Q53+Q54&lt;&gt;20,IF(Q53+Q54&lt;&gt;0,"!",""),""))</f>
        <v/>
      </c>
      <c r="T54" s="21" t="str">
        <f t="shared" si="8"/>
        <v/>
      </c>
      <c r="U54" s="132">
        <f>IF(D54="",0,VLOOKUP(D54,'Tournament Details'!$C:$X,22,FALSE))</f>
        <v>0</v>
      </c>
      <c r="V54" s="132">
        <f>IF(D54="",0,VLOOKUP(D54,'Tournament Details'!$C:$Y,23,FALSE))</f>
        <v>0</v>
      </c>
      <c r="W54" s="132">
        <f>IF(D54="",0,VLOOKUP(D54,'Tournament Details'!$C:$Z,24,FALSE))</f>
        <v>0</v>
      </c>
      <c r="X54" s="132">
        <f>IF(D54="",0,VLOOKUP(D54,'Tournament Details'!$C:$AA,25,FALSE))</f>
        <v>0</v>
      </c>
      <c r="Y54" s="40" t="str">
        <f>IF(D54="","",IF(COUNTIF(D:D,D54)&gt;1,"DUPLICATE PLAYER",IF(D53="","NO OPPONENT",IF(D53=U54,"REPEAT MATCHUP",IF(D53=V54,"REPEAT MATCHUP",IF(D53=W54,"REPEAT MATCHUP",IF(D53=X54,"REPEAT MATCHUP",IF(H54=H53,"SAME TEAM",""))))))))</f>
        <v/>
      </c>
      <c r="Z54" s="40"/>
      <c r="AA54" t="str">
        <f>IF(Y54="NO OPPONENT","",IF(Y54&lt;&gt;"",CONCATENATE("Previous Matchup Player #: ",VLOOKUP(D54,'Tournament Details'!$C:$X,22,FALSE)," - ",VLOOKUP(D54,'Tournament Details'!$C:$Y,23,FALSE)," - ",VLOOKUP(D54,'Tournament Details'!$C:$Z,24,FALSE)," - ",VLOOKUP(D54,'Tournament Details'!$C:$AA,25,FALSE)),""))</f>
        <v/>
      </c>
    </row>
    <row r="55" spans="1:27" ht="15" customHeight="1" thickBot="1" x14ac:dyDescent="0.35">
      <c r="A55" s="224" t="str">
        <f>IF('Tournament Details'!A1&gt;=1,IF(LARGE('Tournament Details'!C7:C86,1)&gt;=54,27,""),"")</f>
        <v/>
      </c>
      <c r="B55" s="42">
        <f t="shared" si="5"/>
        <v>0</v>
      </c>
      <c r="C55" s="44" t="str">
        <f t="shared" si="4"/>
        <v/>
      </c>
      <c r="D55" s="66" t="str">
        <f>IF('Tournament Details'!A1&gt;=1,IF('Tournament Details'!C59&lt;=LARGE('Round 4'!$C:$C,1),VLOOKUP(SMALL('Round 4'!$C:$C,53),'Round 4'!$C:$D,2,FALSE),""),"")</f>
        <v/>
      </c>
      <c r="E55" s="44" t="str">
        <f>IF(D55="","",B55+VLOOKUP(D55,'Round 4'!$D:$E,2,FALSE))</f>
        <v/>
      </c>
      <c r="F55" s="44" t="str">
        <f>IF(D55="","",(LARGE('Tournament Details'!$C:$C,1)+1-D55)+E55)</f>
        <v/>
      </c>
      <c r="G55" s="23" t="str">
        <f>D56</f>
        <v/>
      </c>
      <c r="H55" s="25" t="str">
        <f>IF(D55="","",IF(VLOOKUP(D55,'Tournament Details'!$C:$G,5,FALSE)="",D55,VLOOKUP(D55,'Tournament Details'!$C:$G,5,FALSE)))</f>
        <v/>
      </c>
      <c r="I55" s="7" t="str">
        <f>IF(D55=0,"",IF(VLOOKUP(D55,'Tournament Details'!$C:$E,3,FALSE)&gt;0,VLOOKUP(D55,'Tournament Details'!$C:$E,3,FALSE),""))</f>
        <v/>
      </c>
      <c r="J55" s="129"/>
      <c r="K55" s="129"/>
      <c r="L55" s="23"/>
      <c r="M55" s="23"/>
      <c r="N55" s="23"/>
      <c r="O55" s="23"/>
      <c r="P55" s="192">
        <v>0</v>
      </c>
      <c r="Q55" s="183">
        <f t="shared" si="6"/>
        <v>0</v>
      </c>
      <c r="R55" s="135" t="str">
        <f t="shared" si="7"/>
        <v/>
      </c>
      <c r="S55" s="135" t="str">
        <f>IF(Q55="","",IF(Q55+Q56&lt;&gt;20,IF(Q55+Q56&lt;&gt;0,"!",""),""))</f>
        <v/>
      </c>
      <c r="T55" s="21" t="str">
        <f t="shared" si="8"/>
        <v/>
      </c>
      <c r="U55" s="132">
        <f>IF(D55="",0,VLOOKUP(D55,'Tournament Details'!$C:$X,22,FALSE))</f>
        <v>0</v>
      </c>
      <c r="V55" s="132">
        <f>IF(D55="",0,VLOOKUP(D55,'Tournament Details'!$C:$Y,23,FALSE))</f>
        <v>0</v>
      </c>
      <c r="W55" s="132">
        <f>IF(D55="",0,VLOOKUP(D55,'Tournament Details'!$C:$Z,24,FALSE))</f>
        <v>0</v>
      </c>
      <c r="X55" s="132">
        <f>IF(D55="",0,VLOOKUP(D55,'Tournament Details'!$C:$AA,25,FALSE))</f>
        <v>0</v>
      </c>
      <c r="Y55" s="40" t="str">
        <f>IF(D55="","",IF(COUNTIF(D:D,D55)&gt;1,"DUPLICATE PLAYER",IF(D56="","NO OPPONENT",IF(D56=U55,"REPEAT MATCHUP",IF(D56=V55,"REPEAT MATCHUP",IF(D56=W55,"REPEAT MATCHUP",IF(D56=X55,"REPEAT MATCHUP",IF(H55=H56,"SAME TEAM",""))))))))</f>
        <v/>
      </c>
      <c r="Z55" s="40"/>
      <c r="AA55" t="str">
        <f>IF(Y55="NO OPPONENT","",IF(Y55&lt;&gt;"",CONCATENATE("Previous Matchup Player #: ",VLOOKUP(D55,'Tournament Details'!$C:$X,22,FALSE)," - ",VLOOKUP(D55,'Tournament Details'!$C:$Y,23,FALSE)," - ",VLOOKUP(D55,'Tournament Details'!$C:$Z,24,FALSE)," - ",VLOOKUP(D55,'Tournament Details'!$C:$AA,25,FALSE)),""))</f>
        <v/>
      </c>
    </row>
    <row r="56" spans="1:27" ht="15" customHeight="1" thickBot="1" x14ac:dyDescent="0.35">
      <c r="A56" s="224"/>
      <c r="B56" s="43">
        <f t="shared" si="5"/>
        <v>0</v>
      </c>
      <c r="C56" s="44" t="str">
        <f t="shared" si="4"/>
        <v/>
      </c>
      <c r="D56" s="74" t="str">
        <f>IF('Tournament Details'!A1&gt;=1,IF('Tournament Details'!C60&lt;=LARGE('Round 4'!$C:$C,1),VLOOKUP(SMALL('Round 4'!$C:$C,54),'Round 4'!$C:$D,2,FALSE),""),"")</f>
        <v/>
      </c>
      <c r="E56" s="44" t="str">
        <f>IF(D56="","",B56+VLOOKUP(D56,'Round 4'!$D:$E,2,FALSE))</f>
        <v/>
      </c>
      <c r="F56" s="44" t="str">
        <f>IF(D56="","",(LARGE('Tournament Details'!$C:$C,1)+1-D56)+E56)</f>
        <v/>
      </c>
      <c r="G56" s="24" t="str">
        <f>D55</f>
        <v/>
      </c>
      <c r="H56" s="26" t="str">
        <f>IF(D56="","",IF(VLOOKUP(D56,'Tournament Details'!$C:$G,5,FALSE)="",D56,VLOOKUP(D56,'Tournament Details'!$C:$G,5,FALSE)))</f>
        <v/>
      </c>
      <c r="I56" s="12" t="str">
        <f>IF(D56=0,"",IF(VLOOKUP(D56,'Tournament Details'!$C:$E,3,FALSE)&gt;0,VLOOKUP(D56,'Tournament Details'!$C:$E,3,FALSE),""))</f>
        <v/>
      </c>
      <c r="J56" s="130"/>
      <c r="K56" s="130"/>
      <c r="L56" s="23"/>
      <c r="M56" s="24"/>
      <c r="N56" s="24"/>
      <c r="O56" s="24"/>
      <c r="P56" s="193">
        <v>0</v>
      </c>
      <c r="Q56" s="183">
        <f t="shared" si="6"/>
        <v>0</v>
      </c>
      <c r="R56" s="135" t="str">
        <f t="shared" si="7"/>
        <v/>
      </c>
      <c r="S56" s="135" t="str">
        <f>IF(Q56="","",IF(Q55+Q56&lt;&gt;20,IF(Q55+Q56&lt;&gt;0,"!",""),""))</f>
        <v/>
      </c>
      <c r="T56" s="21" t="str">
        <f t="shared" si="8"/>
        <v/>
      </c>
      <c r="U56" s="132">
        <f>IF(D56="",0,VLOOKUP(D56,'Tournament Details'!$C:$X,22,FALSE))</f>
        <v>0</v>
      </c>
      <c r="V56" s="132">
        <f>IF(D56="",0,VLOOKUP(D56,'Tournament Details'!$C:$Y,23,FALSE))</f>
        <v>0</v>
      </c>
      <c r="W56" s="132">
        <f>IF(D56="",0,VLOOKUP(D56,'Tournament Details'!$C:$Z,24,FALSE))</f>
        <v>0</v>
      </c>
      <c r="X56" s="132">
        <f>IF(D56="",0,VLOOKUP(D56,'Tournament Details'!$C:$AA,25,FALSE))</f>
        <v>0</v>
      </c>
      <c r="Y56" s="40" t="str">
        <f>IF(D56="","",IF(COUNTIF(D:D,D56)&gt;1,"DUPLICATE PLAYER",IF(D55="","NO OPPONENT",IF(D55=U56,"REPEAT MATCHUP",IF(D55=V56,"REPEAT MATCHUP",IF(D55=W56,"REPEAT MATCHUP",IF(D55=X56,"REPEAT MATCHUP",IF(H56=H55,"SAME TEAM",""))))))))</f>
        <v/>
      </c>
      <c r="Z56" s="40"/>
      <c r="AA56" t="str">
        <f>IF(Y56="NO OPPONENT","",IF(Y56&lt;&gt;"",CONCATENATE("Previous Matchup Player #: ",VLOOKUP(D56,'Tournament Details'!$C:$X,22,FALSE)," - ",VLOOKUP(D56,'Tournament Details'!$C:$Y,23,FALSE)," - ",VLOOKUP(D56,'Tournament Details'!$C:$Z,24,FALSE)," - ",VLOOKUP(D56,'Tournament Details'!$C:$AA,25,FALSE)),""))</f>
        <v/>
      </c>
    </row>
    <row r="57" spans="1:27" ht="15" customHeight="1" thickBot="1" x14ac:dyDescent="0.35">
      <c r="A57" s="224" t="str">
        <f>IF('Tournament Details'!A1&gt;=1,IF(LARGE('Tournament Details'!C7:C86,1)&gt;=56,28,""),"")</f>
        <v/>
      </c>
      <c r="B57" s="42">
        <f t="shared" si="5"/>
        <v>0</v>
      </c>
      <c r="C57" s="44" t="str">
        <f t="shared" si="4"/>
        <v/>
      </c>
      <c r="D57" s="66" t="str">
        <f>IF('Tournament Details'!A1&gt;=1,IF('Tournament Details'!C61&lt;=LARGE('Round 4'!$C:$C,1),VLOOKUP(SMALL('Round 4'!$C:$C,55),'Round 4'!$C:$D,2,FALSE),""),"")</f>
        <v/>
      </c>
      <c r="E57" s="44" t="str">
        <f>IF(D57="","",B57+VLOOKUP(D57,'Round 4'!$D:$E,2,FALSE))</f>
        <v/>
      </c>
      <c r="F57" s="44" t="str">
        <f>IF(D57="","",(LARGE('Tournament Details'!$C:$C,1)+1-D57)+E57)</f>
        <v/>
      </c>
      <c r="G57" s="23" t="str">
        <f>D58</f>
        <v/>
      </c>
      <c r="H57" s="25" t="str">
        <f>IF(D57="","",IF(VLOOKUP(D57,'Tournament Details'!$C:$G,5,FALSE)="",D57,VLOOKUP(D57,'Tournament Details'!$C:$G,5,FALSE)))</f>
        <v/>
      </c>
      <c r="I57" s="7" t="str">
        <f>IF(D57=0,"",IF(VLOOKUP(D57,'Tournament Details'!$C:$E,3,FALSE)&gt;0,VLOOKUP(D57,'Tournament Details'!$C:$E,3,FALSE),""))</f>
        <v/>
      </c>
      <c r="J57" s="129"/>
      <c r="K57" s="129"/>
      <c r="L57" s="23"/>
      <c r="M57" s="23"/>
      <c r="N57" s="23"/>
      <c r="O57" s="23"/>
      <c r="P57" s="192">
        <v>0</v>
      </c>
      <c r="Q57" s="183">
        <f t="shared" si="6"/>
        <v>0</v>
      </c>
      <c r="R57" s="135" t="str">
        <f t="shared" si="7"/>
        <v/>
      </c>
      <c r="S57" s="135" t="str">
        <f>IF(Q57="","",IF(Q57+Q58&lt;&gt;20,IF(Q57+Q58&lt;&gt;0,"!",""),""))</f>
        <v/>
      </c>
      <c r="T57" s="21" t="str">
        <f t="shared" si="8"/>
        <v/>
      </c>
      <c r="U57" s="132">
        <f>IF(D57="",0,VLOOKUP(D57,'Tournament Details'!$C:$X,22,FALSE))</f>
        <v>0</v>
      </c>
      <c r="V57" s="132">
        <f>IF(D57="",0,VLOOKUP(D57,'Tournament Details'!$C:$Y,23,FALSE))</f>
        <v>0</v>
      </c>
      <c r="W57" s="132">
        <f>IF(D57="",0,VLOOKUP(D57,'Tournament Details'!$C:$Z,24,FALSE))</f>
        <v>0</v>
      </c>
      <c r="X57" s="132">
        <f>IF(D57="",0,VLOOKUP(D57,'Tournament Details'!$C:$AA,25,FALSE))</f>
        <v>0</v>
      </c>
      <c r="Y57" s="40" t="str">
        <f>IF(D57="","",IF(COUNTIF(D:D,D57)&gt;1,"DUPLICATE PLAYER",IF(D58="","NO OPPONENT",IF(D58=U57,"REPEAT MATCHUP",IF(D58=V57,"REPEAT MATCHUP",IF(D58=W57,"REPEAT MATCHUP",IF(D58=X57,"REPEAT MATCHUP",IF(H57=H58,"SAME TEAM",""))))))))</f>
        <v/>
      </c>
      <c r="Z57" s="40"/>
      <c r="AA57" t="str">
        <f>IF(Y57="NO OPPONENT","",IF(Y57&lt;&gt;"",CONCATENATE("Previous Matchup Player #: ",VLOOKUP(D57,'Tournament Details'!$C:$X,22,FALSE)," - ",VLOOKUP(D57,'Tournament Details'!$C:$Y,23,FALSE)," - ",VLOOKUP(D57,'Tournament Details'!$C:$Z,24,FALSE)," - ",VLOOKUP(D57,'Tournament Details'!$C:$AA,25,FALSE)),""))</f>
        <v/>
      </c>
    </row>
    <row r="58" spans="1:27" ht="15" customHeight="1" thickBot="1" x14ac:dyDescent="0.35">
      <c r="A58" s="224"/>
      <c r="B58" s="43">
        <f t="shared" si="5"/>
        <v>0</v>
      </c>
      <c r="C58" s="44" t="str">
        <f t="shared" si="4"/>
        <v/>
      </c>
      <c r="D58" s="74" t="str">
        <f>IF('Tournament Details'!A1&gt;=1,IF('Tournament Details'!C62&lt;=LARGE('Round 4'!$C:$C,1),VLOOKUP(SMALL('Round 4'!$C:$C,56),'Round 4'!$C:$D,2,FALSE),""),"")</f>
        <v/>
      </c>
      <c r="E58" s="44" t="str">
        <f>IF(D58="","",B58+VLOOKUP(D58,'Round 4'!$D:$E,2,FALSE))</f>
        <v/>
      </c>
      <c r="F58" s="44" t="str">
        <f>IF(D58="","",(LARGE('Tournament Details'!$C:$C,1)+1-D58)+E58)</f>
        <v/>
      </c>
      <c r="G58" s="24" t="str">
        <f>D57</f>
        <v/>
      </c>
      <c r="H58" s="26" t="str">
        <f>IF(D58="","",IF(VLOOKUP(D58,'Tournament Details'!$C:$G,5,FALSE)="",D58,VLOOKUP(D58,'Tournament Details'!$C:$G,5,FALSE)))</f>
        <v/>
      </c>
      <c r="I58" s="12" t="str">
        <f>IF(D58=0,"",IF(VLOOKUP(D58,'Tournament Details'!$C:$E,3,FALSE)&gt;0,VLOOKUP(D58,'Tournament Details'!$C:$E,3,FALSE),""))</f>
        <v/>
      </c>
      <c r="J58" s="130"/>
      <c r="K58" s="130"/>
      <c r="L58" s="23"/>
      <c r="M58" s="24"/>
      <c r="N58" s="24"/>
      <c r="O58" s="24"/>
      <c r="P58" s="193">
        <v>0</v>
      </c>
      <c r="Q58" s="183">
        <f t="shared" si="6"/>
        <v>0</v>
      </c>
      <c r="R58" s="135" t="str">
        <f t="shared" si="7"/>
        <v/>
      </c>
      <c r="S58" s="135" t="str">
        <f>IF(Q58="","",IF(Q57+Q58&lt;&gt;20,IF(Q57+Q58&lt;&gt;0,"!",""),""))</f>
        <v/>
      </c>
      <c r="T58" s="21" t="str">
        <f t="shared" si="8"/>
        <v/>
      </c>
      <c r="U58" s="132">
        <f>IF(D58="",0,VLOOKUP(D58,'Tournament Details'!$C:$X,22,FALSE))</f>
        <v>0</v>
      </c>
      <c r="V58" s="132">
        <f>IF(D58="",0,VLOOKUP(D58,'Tournament Details'!$C:$Y,23,FALSE))</f>
        <v>0</v>
      </c>
      <c r="W58" s="132">
        <f>IF(D58="",0,VLOOKUP(D58,'Tournament Details'!$C:$Z,24,FALSE))</f>
        <v>0</v>
      </c>
      <c r="X58" s="132">
        <f>IF(D58="",0,VLOOKUP(D58,'Tournament Details'!$C:$AA,25,FALSE))</f>
        <v>0</v>
      </c>
      <c r="Y58" s="40" t="str">
        <f>IF(D58="","",IF(COUNTIF(D:D,D58)&gt;1,"DUPLICATE PLAYER",IF(D57="","NO OPPONENT",IF(D57=U58,"REPEAT MATCHUP",IF(D57=V58,"REPEAT MATCHUP",IF(D57=W58,"REPEAT MATCHUP",IF(D57=X58,"REPEAT MATCHUP",IF(H58=H57,"SAME TEAM",""))))))))</f>
        <v/>
      </c>
      <c r="Z58" s="40"/>
      <c r="AA58" t="str">
        <f>IF(Y58="NO OPPONENT","",IF(Y58&lt;&gt;"",CONCATENATE("Previous Matchup Player #: ",VLOOKUP(D58,'Tournament Details'!$C:$X,22,FALSE)," - ",VLOOKUP(D58,'Tournament Details'!$C:$Y,23,FALSE)," - ",VLOOKUP(D58,'Tournament Details'!$C:$Z,24,FALSE)," - ",VLOOKUP(D58,'Tournament Details'!$C:$AA,25,FALSE)),""))</f>
        <v/>
      </c>
    </row>
    <row r="59" spans="1:27" ht="15" customHeight="1" thickBot="1" x14ac:dyDescent="0.35">
      <c r="A59" s="224" t="str">
        <f>IF('Tournament Details'!A1&gt;=1,IF(LARGE('Tournament Details'!C7:C86,1)&gt;=58,29,""),"")</f>
        <v/>
      </c>
      <c r="B59" s="42">
        <f t="shared" si="5"/>
        <v>0</v>
      </c>
      <c r="C59" s="44" t="str">
        <f t="shared" si="4"/>
        <v/>
      </c>
      <c r="D59" s="66" t="str">
        <f>IF('Tournament Details'!A1&gt;=1,IF('Tournament Details'!C63&lt;=LARGE('Round 4'!$C:$C,1),VLOOKUP(SMALL('Round 4'!$C:$C,57),'Round 4'!$C:$D,2,FALSE),""),"")</f>
        <v/>
      </c>
      <c r="E59" s="44" t="str">
        <f>IF(D59="","",B59+VLOOKUP(D59,'Round 4'!$D:$E,2,FALSE))</f>
        <v/>
      </c>
      <c r="F59" s="44" t="str">
        <f>IF(D59="","",(LARGE('Tournament Details'!$C:$C,1)+1-D59)+E59)</f>
        <v/>
      </c>
      <c r="G59" s="23" t="str">
        <f>D60</f>
        <v/>
      </c>
      <c r="H59" s="25" t="str">
        <f>IF(D59="","",IF(VLOOKUP(D59,'Tournament Details'!$C:$G,5,FALSE)="",D59,VLOOKUP(D59,'Tournament Details'!$C:$G,5,FALSE)))</f>
        <v/>
      </c>
      <c r="I59" s="7" t="str">
        <f>IF(D59=0,"",IF(VLOOKUP(D59,'Tournament Details'!$C:$E,3,FALSE)&gt;0,VLOOKUP(D59,'Tournament Details'!$C:$E,3,FALSE),""))</f>
        <v/>
      </c>
      <c r="J59" s="129"/>
      <c r="K59" s="129"/>
      <c r="L59" s="23"/>
      <c r="M59" s="23"/>
      <c r="N59" s="23"/>
      <c r="O59" s="23"/>
      <c r="P59" s="192">
        <v>0</v>
      </c>
      <c r="Q59" s="183">
        <f t="shared" si="6"/>
        <v>0</v>
      </c>
      <c r="R59" s="135" t="str">
        <f t="shared" si="7"/>
        <v/>
      </c>
      <c r="S59" s="135" t="str">
        <f>IF(Q59="","",IF(Q59+Q60&lt;&gt;20,IF(Q59+Q60&lt;&gt;0,"!",""),""))</f>
        <v/>
      </c>
      <c r="T59" s="21" t="str">
        <f t="shared" si="8"/>
        <v/>
      </c>
      <c r="U59" s="132">
        <f>IF(D59="",0,VLOOKUP(D59,'Tournament Details'!$C:$X,22,FALSE))</f>
        <v>0</v>
      </c>
      <c r="V59" s="132">
        <f>IF(D59="",0,VLOOKUP(D59,'Tournament Details'!$C:$Y,23,FALSE))</f>
        <v>0</v>
      </c>
      <c r="W59" s="132">
        <f>IF(D59="",0,VLOOKUP(D59,'Tournament Details'!$C:$Z,24,FALSE))</f>
        <v>0</v>
      </c>
      <c r="X59" s="132">
        <f>IF(D59="",0,VLOOKUP(D59,'Tournament Details'!$C:$AA,25,FALSE))</f>
        <v>0</v>
      </c>
      <c r="Y59" s="40" t="str">
        <f>IF(D59="","",IF(COUNTIF(D:D,D59)&gt;1,"DUPLICATE PLAYER",IF(D60="","NO OPPONENT",IF(D60=U59,"REPEAT MATCHUP",IF(D60=V59,"REPEAT MATCHUP",IF(D60=W59,"REPEAT MATCHUP",IF(D60=X59,"REPEAT MATCHUP",IF(H59=H60,"SAME TEAM",""))))))))</f>
        <v/>
      </c>
      <c r="Z59" s="40"/>
      <c r="AA59" t="str">
        <f>IF(Y59="NO OPPONENT","",IF(Y59&lt;&gt;"",CONCATENATE("Previous Matchup Player #: ",VLOOKUP(D59,'Tournament Details'!$C:$X,22,FALSE)," - ",VLOOKUP(D59,'Tournament Details'!$C:$Y,23,FALSE)," - ",VLOOKUP(D59,'Tournament Details'!$C:$Z,24,FALSE)," - ",VLOOKUP(D59,'Tournament Details'!$C:$AA,25,FALSE)),""))</f>
        <v/>
      </c>
    </row>
    <row r="60" spans="1:27" ht="15" customHeight="1" thickBot="1" x14ac:dyDescent="0.35">
      <c r="A60" s="224"/>
      <c r="B60" s="43">
        <f t="shared" si="5"/>
        <v>0</v>
      </c>
      <c r="C60" s="44" t="str">
        <f t="shared" si="4"/>
        <v/>
      </c>
      <c r="D60" s="74" t="str">
        <f>IF('Tournament Details'!A1&gt;=1,IF('Tournament Details'!C64&lt;=LARGE('Round 4'!$C:$C,1),VLOOKUP(SMALL('Round 4'!$C:$C,58),'Round 4'!$C:$D,2,FALSE),""),"")</f>
        <v/>
      </c>
      <c r="E60" s="44" t="str">
        <f>IF(D60="","",B60+VLOOKUP(D60,'Round 4'!$D:$E,2,FALSE))</f>
        <v/>
      </c>
      <c r="F60" s="44" t="str">
        <f>IF(D60="","",(LARGE('Tournament Details'!$C:$C,1)+1-D60)+E60)</f>
        <v/>
      </c>
      <c r="G60" s="24" t="str">
        <f>D59</f>
        <v/>
      </c>
      <c r="H60" s="26" t="str">
        <f>IF(D60="","",IF(VLOOKUP(D60,'Tournament Details'!$C:$G,5,FALSE)="",D60,VLOOKUP(D60,'Tournament Details'!$C:$G,5,FALSE)))</f>
        <v/>
      </c>
      <c r="I60" s="12" t="str">
        <f>IF(D60=0,"",IF(VLOOKUP(D60,'Tournament Details'!$C:$E,3,FALSE)&gt;0,VLOOKUP(D60,'Tournament Details'!$C:$E,3,FALSE),""))</f>
        <v/>
      </c>
      <c r="J60" s="130"/>
      <c r="K60" s="130"/>
      <c r="L60" s="23"/>
      <c r="M60" s="24"/>
      <c r="N60" s="24"/>
      <c r="O60" s="24"/>
      <c r="P60" s="193">
        <v>0</v>
      </c>
      <c r="Q60" s="183">
        <f t="shared" si="6"/>
        <v>0</v>
      </c>
      <c r="R60" s="135" t="str">
        <f t="shared" si="7"/>
        <v/>
      </c>
      <c r="S60" s="135" t="str">
        <f>IF(Q60="","",IF(Q59+Q60&lt;&gt;20,IF(Q59+Q60&lt;&gt;0,"!",""),""))</f>
        <v/>
      </c>
      <c r="T60" s="21" t="str">
        <f t="shared" si="8"/>
        <v/>
      </c>
      <c r="U60" s="132">
        <f>IF(D60="",0,VLOOKUP(D60,'Tournament Details'!$C:$X,22,FALSE))</f>
        <v>0</v>
      </c>
      <c r="V60" s="132">
        <f>IF(D60="",0,VLOOKUP(D60,'Tournament Details'!$C:$Y,23,FALSE))</f>
        <v>0</v>
      </c>
      <c r="W60" s="132">
        <f>IF(D60="",0,VLOOKUP(D60,'Tournament Details'!$C:$Z,24,FALSE))</f>
        <v>0</v>
      </c>
      <c r="X60" s="132">
        <f>IF(D60="",0,VLOOKUP(D60,'Tournament Details'!$C:$AA,25,FALSE))</f>
        <v>0</v>
      </c>
      <c r="Y60" s="40" t="str">
        <f>IF(D60="","",IF(COUNTIF(D:D,D60)&gt;1,"DUPLICATE PLAYER",IF(D59="","NO OPPONENT",IF(D59=U60,"REPEAT MATCHUP",IF(D59=V60,"REPEAT MATCHUP",IF(D59=W60,"REPEAT MATCHUP",IF(D59=X60,"REPEAT MATCHUP",IF(H60=H59,"SAME TEAM",""))))))))</f>
        <v/>
      </c>
      <c r="Z60" s="40"/>
      <c r="AA60" t="str">
        <f>IF(Y60="NO OPPONENT","",IF(Y60&lt;&gt;"",CONCATENATE("Previous Matchup Player #: ",VLOOKUP(D60,'Tournament Details'!$C:$X,22,FALSE)," - ",VLOOKUP(D60,'Tournament Details'!$C:$Y,23,FALSE)," - ",VLOOKUP(D60,'Tournament Details'!$C:$Z,24,FALSE)," - ",VLOOKUP(D60,'Tournament Details'!$C:$AA,25,FALSE)),""))</f>
        <v/>
      </c>
    </row>
    <row r="61" spans="1:27" ht="15" customHeight="1" thickBot="1" x14ac:dyDescent="0.35">
      <c r="A61" s="224" t="str">
        <f>IF('Tournament Details'!A1&gt;=1,IF(LARGE('Tournament Details'!C7:C86,1)&gt;=60,30,""),"")</f>
        <v/>
      </c>
      <c r="B61" s="42">
        <f t="shared" si="5"/>
        <v>0</v>
      </c>
      <c r="C61" s="44" t="str">
        <f t="shared" si="4"/>
        <v/>
      </c>
      <c r="D61" s="66" t="str">
        <f>IF('Tournament Details'!A1&gt;=1,IF('Tournament Details'!C65&lt;=LARGE('Round 4'!$C:$C,1),VLOOKUP(SMALL('Round 4'!$C:$C,59),'Round 4'!$C:$D,2,FALSE),""),"")</f>
        <v/>
      </c>
      <c r="E61" s="44" t="str">
        <f>IF(D61="","",B61+VLOOKUP(D61,'Round 4'!$D:$E,2,FALSE))</f>
        <v/>
      </c>
      <c r="F61" s="44" t="str">
        <f>IF(D61="","",(LARGE('Tournament Details'!$C:$C,1)+1-D61)+E61)</f>
        <v/>
      </c>
      <c r="G61" s="23" t="str">
        <f>D62</f>
        <v/>
      </c>
      <c r="H61" s="25" t="str">
        <f>IF(D61="","",IF(VLOOKUP(D61,'Tournament Details'!$C:$G,5,FALSE)="",D61,VLOOKUP(D61,'Tournament Details'!$C:$G,5,FALSE)))</f>
        <v/>
      </c>
      <c r="I61" s="7" t="str">
        <f>IF(D61=0,"",IF(VLOOKUP(D61,'Tournament Details'!$C:$E,3,FALSE)&gt;0,VLOOKUP(D61,'Tournament Details'!$C:$E,3,FALSE),""))</f>
        <v/>
      </c>
      <c r="J61" s="129"/>
      <c r="K61" s="129"/>
      <c r="L61" s="23"/>
      <c r="M61" s="23"/>
      <c r="N61" s="23"/>
      <c r="O61" s="23"/>
      <c r="P61" s="192">
        <v>0</v>
      </c>
      <c r="Q61" s="183">
        <f t="shared" si="6"/>
        <v>0</v>
      </c>
      <c r="R61" s="135" t="str">
        <f t="shared" si="7"/>
        <v/>
      </c>
      <c r="S61" s="135" t="str">
        <f>IF(Q61="","",IF(Q61+Q62&lt;&gt;20,IF(Q61+Q62&lt;&gt;0,"!",""),""))</f>
        <v/>
      </c>
      <c r="T61" s="21" t="str">
        <f t="shared" si="8"/>
        <v/>
      </c>
      <c r="U61" s="132">
        <f>IF(D61="",0,VLOOKUP(D61,'Tournament Details'!$C:$X,22,FALSE))</f>
        <v>0</v>
      </c>
      <c r="V61" s="132">
        <f>IF(D61="",0,VLOOKUP(D61,'Tournament Details'!$C:$Y,23,FALSE))</f>
        <v>0</v>
      </c>
      <c r="W61" s="132">
        <f>IF(D61="",0,VLOOKUP(D61,'Tournament Details'!$C:$Z,24,FALSE))</f>
        <v>0</v>
      </c>
      <c r="X61" s="132">
        <f>IF(D61="",0,VLOOKUP(D61,'Tournament Details'!$C:$AA,25,FALSE))</f>
        <v>0</v>
      </c>
      <c r="Y61" s="40" t="str">
        <f>IF(D61="","",IF(COUNTIF(D:D,D61)&gt;1,"DUPLICATE PLAYER",IF(D62="","NO OPPONENT",IF(D62=U61,"REPEAT MATCHUP",IF(D62=V61,"REPEAT MATCHUP",IF(D62=W61,"REPEAT MATCHUP",IF(D62=X61,"REPEAT MATCHUP",IF(H61=H62,"SAME TEAM",""))))))))</f>
        <v/>
      </c>
      <c r="Z61" s="40"/>
      <c r="AA61" t="str">
        <f>IF(Y61="NO OPPONENT","",IF(Y61&lt;&gt;"",CONCATENATE("Previous Matchup Player #: ",VLOOKUP(D61,'Tournament Details'!$C:$X,22,FALSE)," - ",VLOOKUP(D61,'Tournament Details'!$C:$Y,23,FALSE)," - ",VLOOKUP(D61,'Tournament Details'!$C:$Z,24,FALSE)," - ",VLOOKUP(D61,'Tournament Details'!$C:$AA,25,FALSE)),""))</f>
        <v/>
      </c>
    </row>
    <row r="62" spans="1:27" ht="15" customHeight="1" thickBot="1" x14ac:dyDescent="0.35">
      <c r="A62" s="224"/>
      <c r="B62" s="43">
        <f t="shared" si="5"/>
        <v>0</v>
      </c>
      <c r="C62" s="44" t="str">
        <f t="shared" si="4"/>
        <v/>
      </c>
      <c r="D62" s="74" t="str">
        <f>IF('Tournament Details'!A1&gt;=1,IF('Tournament Details'!C66&lt;=LARGE('Round 4'!$C:$C,1),VLOOKUP(SMALL('Round 4'!$C:$C,60),'Round 4'!$C:$D,2,FALSE),""),"")</f>
        <v/>
      </c>
      <c r="E62" s="44" t="str">
        <f>IF(D62="","",B62+VLOOKUP(D62,'Round 4'!$D:$E,2,FALSE))</f>
        <v/>
      </c>
      <c r="F62" s="44" t="str">
        <f>IF(D62="","",(LARGE('Tournament Details'!$C:$C,1)+1-D62)+E62)</f>
        <v/>
      </c>
      <c r="G62" s="24" t="str">
        <f>D61</f>
        <v/>
      </c>
      <c r="H62" s="26" t="str">
        <f>IF(D62="","",IF(VLOOKUP(D62,'Tournament Details'!$C:$G,5,FALSE)="",D62,VLOOKUP(D62,'Tournament Details'!$C:$G,5,FALSE)))</f>
        <v/>
      </c>
      <c r="I62" s="12" t="str">
        <f>IF(D62=0,"",IF(VLOOKUP(D62,'Tournament Details'!$C:$E,3,FALSE)&gt;0,VLOOKUP(D62,'Tournament Details'!$C:$E,3,FALSE),""))</f>
        <v/>
      </c>
      <c r="J62" s="130"/>
      <c r="K62" s="130"/>
      <c r="L62" s="23"/>
      <c r="M62" s="24"/>
      <c r="N62" s="24"/>
      <c r="O62" s="24"/>
      <c r="P62" s="193">
        <v>0</v>
      </c>
      <c r="Q62" s="183">
        <f t="shared" si="6"/>
        <v>0</v>
      </c>
      <c r="R62" s="135" t="str">
        <f t="shared" si="7"/>
        <v/>
      </c>
      <c r="S62" s="135" t="str">
        <f>IF(Q62="","",IF(Q61+Q62&lt;&gt;20,IF(Q61+Q62&lt;&gt;0,"!",""),""))</f>
        <v/>
      </c>
      <c r="T62" s="21" t="str">
        <f t="shared" si="8"/>
        <v/>
      </c>
      <c r="U62" s="132">
        <f>IF(D62="",0,VLOOKUP(D62,'Tournament Details'!$C:$X,22,FALSE))</f>
        <v>0</v>
      </c>
      <c r="V62" s="132">
        <f>IF(D62="",0,VLOOKUP(D62,'Tournament Details'!$C:$Y,23,FALSE))</f>
        <v>0</v>
      </c>
      <c r="W62" s="132">
        <f>IF(D62="",0,VLOOKUP(D62,'Tournament Details'!$C:$Z,24,FALSE))</f>
        <v>0</v>
      </c>
      <c r="X62" s="132">
        <f>IF(D62="",0,VLOOKUP(D62,'Tournament Details'!$C:$AA,25,FALSE))</f>
        <v>0</v>
      </c>
      <c r="Y62" s="40" t="str">
        <f>IF(D62="","",IF(COUNTIF(D:D,D62)&gt;1,"DUPLICATE PLAYER",IF(D61="","NO OPPONENT",IF(D61=U62,"REPEAT MATCHUP",IF(D61=V62,"REPEAT MATCHUP",IF(D61=W62,"REPEAT MATCHUP",IF(D61=X62,"REPEAT MATCHUP",IF(H62=H61,"SAME TEAM",""))))))))</f>
        <v/>
      </c>
      <c r="Z62" s="40"/>
      <c r="AA62" t="str">
        <f>IF(Y62="NO OPPONENT","",IF(Y62&lt;&gt;"",CONCATENATE("Previous Matchup Player #: ",VLOOKUP(D62,'Tournament Details'!$C:$X,22,FALSE)," - ",VLOOKUP(D62,'Tournament Details'!$C:$Y,23,FALSE)," - ",VLOOKUP(D62,'Tournament Details'!$C:$Z,24,FALSE)," - ",VLOOKUP(D62,'Tournament Details'!$C:$AA,25,FALSE)),""))</f>
        <v/>
      </c>
    </row>
    <row r="63" spans="1:27" ht="15" customHeight="1" thickBot="1" x14ac:dyDescent="0.35">
      <c r="A63" s="224" t="str">
        <f>IF('Tournament Details'!A1&gt;=1,IF(LARGE('Tournament Details'!C7:C86,1)&gt;=62,31,""),"")</f>
        <v/>
      </c>
      <c r="B63" s="42">
        <f t="shared" si="5"/>
        <v>0</v>
      </c>
      <c r="C63" s="44" t="str">
        <f t="shared" si="4"/>
        <v/>
      </c>
      <c r="D63" s="66" t="str">
        <f>IF('Tournament Details'!A1&gt;=1,IF('Tournament Details'!C67&lt;=LARGE('Round 4'!$C:$C,1),VLOOKUP(SMALL('Round 4'!$C:$C,61),'Round 4'!$C:$D,2,FALSE),""),"")</f>
        <v/>
      </c>
      <c r="E63" s="44" t="str">
        <f>IF(D63="","",B63+VLOOKUP(D63,'Round 4'!$D:$E,2,FALSE))</f>
        <v/>
      </c>
      <c r="F63" s="44" t="str">
        <f>IF(D63="","",(LARGE('Tournament Details'!$C:$C,1)+1-D63)+E63)</f>
        <v/>
      </c>
      <c r="G63" s="23" t="str">
        <f>D64</f>
        <v/>
      </c>
      <c r="H63" s="25" t="str">
        <f>IF(D63="","",IF(VLOOKUP(D63,'Tournament Details'!$C:$G,5,FALSE)="",D63,VLOOKUP(D63,'Tournament Details'!$C:$G,5,FALSE)))</f>
        <v/>
      </c>
      <c r="I63" s="7" t="str">
        <f>IF(D63=0,"",IF(VLOOKUP(D63,'Tournament Details'!$C:$E,3,FALSE)&gt;0,VLOOKUP(D63,'Tournament Details'!$C:$E,3,FALSE),""))</f>
        <v/>
      </c>
      <c r="J63" s="129"/>
      <c r="K63" s="129"/>
      <c r="L63" s="23"/>
      <c r="M63" s="23"/>
      <c r="N63" s="23"/>
      <c r="O63" s="23"/>
      <c r="P63" s="192">
        <v>0</v>
      </c>
      <c r="Q63" s="183">
        <f t="shared" si="6"/>
        <v>0</v>
      </c>
      <c r="R63" s="135" t="str">
        <f t="shared" si="7"/>
        <v/>
      </c>
      <c r="S63" s="135" t="str">
        <f>IF(Q63="","",IF(Q63+Q64&lt;&gt;20,IF(Q63+Q64&lt;&gt;0,"!",""),""))</f>
        <v/>
      </c>
      <c r="T63" s="21" t="str">
        <f t="shared" si="8"/>
        <v/>
      </c>
      <c r="U63" s="132">
        <f>IF(D63="",0,VLOOKUP(D63,'Tournament Details'!$C:$X,22,FALSE))</f>
        <v>0</v>
      </c>
      <c r="V63" s="132">
        <f>IF(D63="",0,VLOOKUP(D63,'Tournament Details'!$C:$Y,23,FALSE))</f>
        <v>0</v>
      </c>
      <c r="W63" s="132">
        <f>IF(D63="",0,VLOOKUP(D63,'Tournament Details'!$C:$Z,24,FALSE))</f>
        <v>0</v>
      </c>
      <c r="X63" s="132">
        <f>IF(D63="",0,VLOOKUP(D63,'Tournament Details'!$C:$AA,25,FALSE))</f>
        <v>0</v>
      </c>
      <c r="Y63" s="40" t="str">
        <f>IF(D63="","",IF(COUNTIF(D:D,D63)&gt;1,"DUPLICATE PLAYER",IF(D64="","NO OPPONENT",IF(D64=U63,"REPEAT MATCHUP",IF(D64=V63,"REPEAT MATCHUP",IF(D64=W63,"REPEAT MATCHUP",IF(D64=X63,"REPEAT MATCHUP",IF(H63=H64,"SAME TEAM",""))))))))</f>
        <v/>
      </c>
      <c r="Z63" s="40"/>
      <c r="AA63" t="str">
        <f>IF(Y63="NO OPPONENT","",IF(Y63&lt;&gt;"",CONCATENATE("Previous Matchup Player #: ",VLOOKUP(D63,'Tournament Details'!$C:$X,22,FALSE)," - ",VLOOKUP(D63,'Tournament Details'!$C:$Y,23,FALSE)," - ",VLOOKUP(D63,'Tournament Details'!$C:$Z,24,FALSE)," - ",VLOOKUP(D63,'Tournament Details'!$C:$AA,25,FALSE)),""))</f>
        <v/>
      </c>
    </row>
    <row r="64" spans="1:27" ht="15" customHeight="1" thickBot="1" x14ac:dyDescent="0.35">
      <c r="A64" s="224"/>
      <c r="B64" s="43">
        <f t="shared" si="5"/>
        <v>0</v>
      </c>
      <c r="C64" s="44" t="str">
        <f t="shared" si="4"/>
        <v/>
      </c>
      <c r="D64" s="74" t="str">
        <f>IF('Tournament Details'!A1&gt;=1,IF('Tournament Details'!C68&lt;=LARGE('Round 4'!$C:$C,1),VLOOKUP(SMALL('Round 4'!$C:$C,62),'Round 4'!$C:$D,2,FALSE),""),"")</f>
        <v/>
      </c>
      <c r="E64" s="44" t="str">
        <f>IF(D64="","",B64+VLOOKUP(D64,'Round 4'!$D:$E,2,FALSE))</f>
        <v/>
      </c>
      <c r="F64" s="44" t="str">
        <f>IF(D64="","",(LARGE('Tournament Details'!$C:$C,1)+1-D64)+E64)</f>
        <v/>
      </c>
      <c r="G64" s="24" t="str">
        <f>D63</f>
        <v/>
      </c>
      <c r="H64" s="26" t="str">
        <f>IF(D64="","",IF(VLOOKUP(D64,'Tournament Details'!$C:$G,5,FALSE)="",D64,VLOOKUP(D64,'Tournament Details'!$C:$G,5,FALSE)))</f>
        <v/>
      </c>
      <c r="I64" s="12" t="str">
        <f>IF(D64=0,"",IF(VLOOKUP(D64,'Tournament Details'!$C:$E,3,FALSE)&gt;0,VLOOKUP(D64,'Tournament Details'!$C:$E,3,FALSE),""))</f>
        <v/>
      </c>
      <c r="J64" s="130"/>
      <c r="K64" s="130"/>
      <c r="L64" s="23"/>
      <c r="M64" s="24"/>
      <c r="N64" s="24"/>
      <c r="O64" s="24"/>
      <c r="P64" s="193">
        <v>0</v>
      </c>
      <c r="Q64" s="183">
        <f t="shared" si="6"/>
        <v>0</v>
      </c>
      <c r="R64" s="135" t="str">
        <f t="shared" si="7"/>
        <v/>
      </c>
      <c r="S64" s="135" t="str">
        <f>IF(Q64="","",IF(Q63+Q64&lt;&gt;20,IF(Q63+Q64&lt;&gt;0,"!",""),""))</f>
        <v/>
      </c>
      <c r="T64" s="21" t="str">
        <f t="shared" si="8"/>
        <v/>
      </c>
      <c r="U64" s="132">
        <f>IF(D64="",0,VLOOKUP(D64,'Tournament Details'!$C:$X,22,FALSE))</f>
        <v>0</v>
      </c>
      <c r="V64" s="132">
        <f>IF(D64="",0,VLOOKUP(D64,'Tournament Details'!$C:$Y,23,FALSE))</f>
        <v>0</v>
      </c>
      <c r="W64" s="132">
        <f>IF(D64="",0,VLOOKUP(D64,'Tournament Details'!$C:$Z,24,FALSE))</f>
        <v>0</v>
      </c>
      <c r="X64" s="132">
        <f>IF(D64="",0,VLOOKUP(D64,'Tournament Details'!$C:$AA,25,FALSE))</f>
        <v>0</v>
      </c>
      <c r="Y64" s="40" t="str">
        <f>IF(D64="","",IF(COUNTIF(D:D,D64)&gt;1,"DUPLICATE PLAYER",IF(D63="","NO OPPONENT",IF(D63=U64,"REPEAT MATCHUP",IF(D63=V64,"REPEAT MATCHUP",IF(D63=W64,"REPEAT MATCHUP",IF(D63=X64,"REPEAT MATCHUP",IF(H64=H63,"SAME TEAM",""))))))))</f>
        <v/>
      </c>
      <c r="Z64" s="40"/>
      <c r="AA64" t="str">
        <f>IF(Y64="NO OPPONENT","",IF(Y64&lt;&gt;"",CONCATENATE("Previous Matchup Player #: ",VLOOKUP(D64,'Tournament Details'!$C:$X,22,FALSE)," - ",VLOOKUP(D64,'Tournament Details'!$C:$Y,23,FALSE)," - ",VLOOKUP(D64,'Tournament Details'!$C:$Z,24,FALSE)," - ",VLOOKUP(D64,'Tournament Details'!$C:$AA,25,FALSE)),""))</f>
        <v/>
      </c>
    </row>
    <row r="65" spans="1:27" ht="15" customHeight="1" thickBot="1" x14ac:dyDescent="0.35">
      <c r="A65" s="224" t="str">
        <f>IF('Tournament Details'!A1&gt;=1,IF(LARGE('Tournament Details'!C7:C86,1)&gt;=64,32,""),"")</f>
        <v/>
      </c>
      <c r="B65" s="42">
        <f t="shared" si="5"/>
        <v>0</v>
      </c>
      <c r="C65" s="44" t="str">
        <f t="shared" si="4"/>
        <v/>
      </c>
      <c r="D65" s="66" t="str">
        <f>IF('Tournament Details'!A1&gt;=1,IF('Tournament Details'!C69&lt;=LARGE('Round 4'!$C:$C,1),VLOOKUP(SMALL('Round 4'!$C:$C,63),'Round 4'!$C:$D,2,FALSE),""),"")</f>
        <v/>
      </c>
      <c r="E65" s="44" t="str">
        <f>IF(D65="","",B65+VLOOKUP(D65,'Round 4'!$D:$E,2,FALSE))</f>
        <v/>
      </c>
      <c r="F65" s="44" t="str">
        <f>IF(D65="","",(LARGE('Tournament Details'!$C:$C,1)+1-D65)+E65)</f>
        <v/>
      </c>
      <c r="G65" s="23" t="str">
        <f>D66</f>
        <v/>
      </c>
      <c r="H65" s="25" t="str">
        <f>IF(D65="","",IF(VLOOKUP(D65,'Tournament Details'!$C:$G,5,FALSE)="",D65,VLOOKUP(D65,'Tournament Details'!$C:$G,5,FALSE)))</f>
        <v/>
      </c>
      <c r="I65" s="7" t="str">
        <f>IF(D65=0,"",IF(VLOOKUP(D65,'Tournament Details'!$C:$E,3,FALSE)&gt;0,VLOOKUP(D65,'Tournament Details'!$C:$E,3,FALSE),""))</f>
        <v/>
      </c>
      <c r="J65" s="129"/>
      <c r="K65" s="129"/>
      <c r="L65" s="23"/>
      <c r="M65" s="23"/>
      <c r="N65" s="23"/>
      <c r="O65" s="23"/>
      <c r="P65" s="192">
        <v>0</v>
      </c>
      <c r="Q65" s="183">
        <f t="shared" si="6"/>
        <v>0</v>
      </c>
      <c r="R65" s="135" t="str">
        <f t="shared" si="7"/>
        <v/>
      </c>
      <c r="S65" s="135" t="str">
        <f>IF(Q65="","",IF(Q65+Q66&lt;&gt;20,IF(Q65+Q66&lt;&gt;0,"!",""),""))</f>
        <v/>
      </c>
      <c r="T65" s="21" t="str">
        <f t="shared" si="8"/>
        <v/>
      </c>
      <c r="U65" s="132">
        <f>IF(D65="",0,VLOOKUP(D65,'Tournament Details'!$C:$X,22,FALSE))</f>
        <v>0</v>
      </c>
      <c r="V65" s="132">
        <f>IF(D65="",0,VLOOKUP(D65,'Tournament Details'!$C:$Y,23,FALSE))</f>
        <v>0</v>
      </c>
      <c r="W65" s="132">
        <f>IF(D65="",0,VLOOKUP(D65,'Tournament Details'!$C:$Z,24,FALSE))</f>
        <v>0</v>
      </c>
      <c r="X65" s="132">
        <f>IF(D65="",0,VLOOKUP(D65,'Tournament Details'!$C:$AA,25,FALSE))</f>
        <v>0</v>
      </c>
      <c r="Y65" s="40" t="str">
        <f>IF(D65="","",IF(COUNTIF(D:D,D65)&gt;1,"DUPLICATE PLAYER",IF(D66="","NO OPPONENT",IF(D66=U65,"REPEAT MATCHUP",IF(D66=V65,"REPEAT MATCHUP",IF(D66=W65,"REPEAT MATCHUP",IF(D66=X65,"REPEAT MATCHUP",IF(H65=H66,"SAME TEAM",""))))))))</f>
        <v/>
      </c>
      <c r="Z65" s="40"/>
      <c r="AA65" t="str">
        <f>IF(Y65="NO OPPONENT","",IF(Y65&lt;&gt;"",CONCATENATE("Previous Matchup Player #: ",VLOOKUP(D65,'Tournament Details'!$C:$X,22,FALSE)," - ",VLOOKUP(D65,'Tournament Details'!$C:$Y,23,FALSE)," - ",VLOOKUP(D65,'Tournament Details'!$C:$Z,24,FALSE)," - ",VLOOKUP(D65,'Tournament Details'!$C:$AA,25,FALSE)),""))</f>
        <v/>
      </c>
    </row>
    <row r="66" spans="1:27" ht="15" customHeight="1" thickBot="1" x14ac:dyDescent="0.35">
      <c r="A66" s="224"/>
      <c r="B66" s="43">
        <f t="shared" si="5"/>
        <v>0</v>
      </c>
      <c r="C66" s="44" t="str">
        <f t="shared" si="4"/>
        <v/>
      </c>
      <c r="D66" s="74" t="str">
        <f>IF('Tournament Details'!A1&gt;=1,IF('Tournament Details'!C70&lt;=LARGE('Round 4'!$C:$C,1),VLOOKUP(SMALL('Round 4'!$C:$C,64),'Round 4'!$C:$D,2,FALSE),""),"")</f>
        <v/>
      </c>
      <c r="E66" s="44" t="str">
        <f>IF(D66="","",B66+VLOOKUP(D66,'Round 4'!$D:$E,2,FALSE))</f>
        <v/>
      </c>
      <c r="F66" s="44" t="str">
        <f>IF(D66="","",(LARGE('Tournament Details'!$C:$C,1)+1-D66)+E66)</f>
        <v/>
      </c>
      <c r="G66" s="24" t="str">
        <f>D65</f>
        <v/>
      </c>
      <c r="H66" s="26" t="str">
        <f>IF(D66="","",IF(VLOOKUP(D66,'Tournament Details'!$C:$G,5,FALSE)="",D66,VLOOKUP(D66,'Tournament Details'!$C:$G,5,FALSE)))</f>
        <v/>
      </c>
      <c r="I66" s="12" t="str">
        <f>IF(D66=0,"",IF(VLOOKUP(D66,'Tournament Details'!$C:$E,3,FALSE)&gt;0,VLOOKUP(D66,'Tournament Details'!$C:$E,3,FALSE),""))</f>
        <v/>
      </c>
      <c r="J66" s="130"/>
      <c r="K66" s="130"/>
      <c r="L66" s="23"/>
      <c r="M66" s="24"/>
      <c r="N66" s="24"/>
      <c r="O66" s="24"/>
      <c r="P66" s="193">
        <v>0</v>
      </c>
      <c r="Q66" s="183">
        <f t="shared" si="6"/>
        <v>0</v>
      </c>
      <c r="R66" s="135" t="str">
        <f t="shared" si="7"/>
        <v/>
      </c>
      <c r="S66" s="135" t="str">
        <f>IF(Q66="","",IF(Q65+Q66&lt;&gt;20,IF(Q65+Q66&lt;&gt;0,"!",""),""))</f>
        <v/>
      </c>
      <c r="T66" s="21" t="str">
        <f t="shared" si="8"/>
        <v/>
      </c>
      <c r="U66" s="132">
        <f>IF(D66="",0,VLOOKUP(D66,'Tournament Details'!$C:$X,22,FALSE))</f>
        <v>0</v>
      </c>
      <c r="V66" s="132">
        <f>IF(D66="",0,VLOOKUP(D66,'Tournament Details'!$C:$Y,23,FALSE))</f>
        <v>0</v>
      </c>
      <c r="W66" s="132">
        <f>IF(D66="",0,VLOOKUP(D66,'Tournament Details'!$C:$Z,24,FALSE))</f>
        <v>0</v>
      </c>
      <c r="X66" s="132">
        <f>IF(D66="",0,VLOOKUP(D66,'Tournament Details'!$C:$AA,25,FALSE))</f>
        <v>0</v>
      </c>
      <c r="Y66" s="40" t="str">
        <f>IF(D66="","",IF(COUNTIF(D:D,D66)&gt;1,"DUPLICATE PLAYER",IF(D65="","NO OPPONENT",IF(D65=U66,"REPEAT MATCHUP",IF(D65=V66,"REPEAT MATCHUP",IF(D65=W66,"REPEAT MATCHUP",IF(D65=X66,"REPEAT MATCHUP",IF(H66=H65,"SAME TEAM",""))))))))</f>
        <v/>
      </c>
      <c r="Z66" s="40"/>
      <c r="AA66" t="str">
        <f>IF(Y66="NO OPPONENT","",IF(Y66&lt;&gt;"",CONCATENATE("Previous Matchup Player #: ",VLOOKUP(D66,'Tournament Details'!$C:$X,22,FALSE)," - ",VLOOKUP(D66,'Tournament Details'!$C:$Y,23,FALSE)," - ",VLOOKUP(D66,'Tournament Details'!$C:$Z,24,FALSE)," - ",VLOOKUP(D66,'Tournament Details'!$C:$AA,25,FALSE)),""))</f>
        <v/>
      </c>
    </row>
    <row r="67" spans="1:27" ht="15" customHeight="1" thickBot="1" x14ac:dyDescent="0.35">
      <c r="A67" s="224" t="str">
        <f>IF('Tournament Details'!A1&gt;=1,IF(LARGE('Tournament Details'!C7:C86,1)&gt;=66,33,""),"")</f>
        <v/>
      </c>
      <c r="B67" s="42">
        <f t="shared" ref="B67:B82" si="9">IF(Q67="","",(Q67*10000)+K67)</f>
        <v>0</v>
      </c>
      <c r="C67" s="44" t="str">
        <f t="shared" si="4"/>
        <v/>
      </c>
      <c r="D67" s="66" t="str">
        <f>IF('Tournament Details'!A1&gt;=1,IF('Tournament Details'!C71&lt;=LARGE('Round 4'!$C:$C,1),VLOOKUP(SMALL('Round 4'!$C:$C,65),'Round 4'!$C:$D,2,FALSE),""),"")</f>
        <v/>
      </c>
      <c r="E67" s="44" t="str">
        <f>IF(D67="","",B67+VLOOKUP(D67,'Round 4'!$D:$E,2,FALSE))</f>
        <v/>
      </c>
      <c r="F67" s="44" t="str">
        <f>IF(D67="","",(LARGE('Tournament Details'!$C:$C,1)+1-D67)+E67)</f>
        <v/>
      </c>
      <c r="G67" s="23" t="str">
        <f>D68</f>
        <v/>
      </c>
      <c r="H67" s="25" t="str">
        <f>IF(D67="","",IF(VLOOKUP(D67,'Tournament Details'!$C:$G,5,FALSE)="",D67,VLOOKUP(D67,'Tournament Details'!$C:$G,5,FALSE)))</f>
        <v/>
      </c>
      <c r="I67" s="7" t="str">
        <f>IF(D67=0,"",IF(VLOOKUP(D67,'Tournament Details'!$C:$E,3,FALSE)&gt;0,VLOOKUP(D67,'Tournament Details'!$C:$E,3,FALSE),""))</f>
        <v/>
      </c>
      <c r="J67" s="129"/>
      <c r="K67" s="129"/>
      <c r="L67" s="23"/>
      <c r="M67" s="23"/>
      <c r="N67" s="23"/>
      <c r="O67" s="23"/>
      <c r="P67" s="192">
        <v>0</v>
      </c>
      <c r="Q67" s="183">
        <f t="shared" ref="Q67:Q82" si="10">IF(P67="",0,P67)</f>
        <v>0</v>
      </c>
      <c r="R67" s="135" t="str">
        <f t="shared" ref="R67:R82" si="11">IF(J67="","",IF(J67&gt;16,"!",IF(J67&lt;4,"!","")))</f>
        <v/>
      </c>
      <c r="S67" s="135" t="str">
        <f>IF(Q67="","",IF(Q67+Q68&lt;&gt;20,IF(Q67+Q68&lt;&gt;0,"!",""),""))</f>
        <v/>
      </c>
      <c r="T67" s="21" t="str">
        <f t="shared" ref="T67:T82" si="12">IF(R67="!","!",IF(S67="!","!",""))</f>
        <v/>
      </c>
      <c r="U67" s="132">
        <f>IF(D67="",0,VLOOKUP(D67,'Tournament Details'!$C:$X,22,FALSE))</f>
        <v>0</v>
      </c>
      <c r="V67" s="132">
        <f>IF(D67="",0,VLOOKUP(D67,'Tournament Details'!$C:$Y,23,FALSE))</f>
        <v>0</v>
      </c>
      <c r="W67" s="132">
        <f>IF(D67="",0,VLOOKUP(D67,'Tournament Details'!$C:$Z,24,FALSE))</f>
        <v>0</v>
      </c>
      <c r="X67" s="132">
        <f>IF(D67="",0,VLOOKUP(D67,'Tournament Details'!$C:$AA,25,FALSE))</f>
        <v>0</v>
      </c>
      <c r="Y67" s="40" t="str">
        <f>IF(D67="","",IF(COUNTIF(D:D,D67)&gt;1,"DUPLICATE PLAYER",IF(D68="","NO OPPONENT",IF(D68=U67,"REPEAT MATCHUP",IF(D68=V67,"REPEAT MATCHUP",IF(D68=W67,"REPEAT MATCHUP",IF(D68=X67,"REPEAT MATCHUP",IF(H67=H68,"SAME TEAM",""))))))))</f>
        <v/>
      </c>
      <c r="Z67" s="40"/>
      <c r="AA67" t="str">
        <f>IF(Y67="NO OPPONENT","",IF(Y67&lt;&gt;"",CONCATENATE("Previous Matchup Player #: ",VLOOKUP(D67,'Tournament Details'!$C:$X,22,FALSE)," - ",VLOOKUP(D67,'Tournament Details'!$C:$Y,23,FALSE)," - ",VLOOKUP(D67,'Tournament Details'!$C:$Z,24,FALSE)," - ",VLOOKUP(D67,'Tournament Details'!$C:$AA,25,FALSE)),""))</f>
        <v/>
      </c>
    </row>
    <row r="68" spans="1:27" ht="15" customHeight="1" thickBot="1" x14ac:dyDescent="0.35">
      <c r="A68" s="224"/>
      <c r="B68" s="43">
        <f t="shared" si="9"/>
        <v>0</v>
      </c>
      <c r="C68" s="44" t="str">
        <f t="shared" ref="C68:C82" si="13">IF(D68="","",IF(COUNTIF(E:E,E68)=1,RANK(E68,E:E),RANK(F68,F:F)))</f>
        <v/>
      </c>
      <c r="D68" s="74" t="str">
        <f>IF('Tournament Details'!A1&gt;=1,IF('Tournament Details'!C72&lt;=LARGE('Round 4'!$C:$C,1),VLOOKUP(SMALL('Round 4'!$C:$C,66),'Round 4'!$C:$D,2,FALSE),""),"")</f>
        <v/>
      </c>
      <c r="E68" s="44" t="str">
        <f>IF(D68="","",B68+VLOOKUP(D68,'Round 4'!$D:$E,2,FALSE))</f>
        <v/>
      </c>
      <c r="F68" s="44" t="str">
        <f>IF(D68="","",(LARGE('Tournament Details'!$C:$C,1)+1-D68)+E68)</f>
        <v/>
      </c>
      <c r="G68" s="24" t="str">
        <f>D67</f>
        <v/>
      </c>
      <c r="H68" s="26" t="str">
        <f>IF(D68="","",IF(VLOOKUP(D68,'Tournament Details'!$C:$G,5,FALSE)="",D68,VLOOKUP(D68,'Tournament Details'!$C:$G,5,FALSE)))</f>
        <v/>
      </c>
      <c r="I68" s="12" t="str">
        <f>IF(D68=0,"",IF(VLOOKUP(D68,'Tournament Details'!$C:$E,3,FALSE)&gt;0,VLOOKUP(D68,'Tournament Details'!$C:$E,3,FALSE),""))</f>
        <v/>
      </c>
      <c r="J68" s="130"/>
      <c r="K68" s="130"/>
      <c r="L68" s="23"/>
      <c r="M68" s="24"/>
      <c r="N68" s="24"/>
      <c r="O68" s="24"/>
      <c r="P68" s="193">
        <v>0</v>
      </c>
      <c r="Q68" s="183">
        <f t="shared" si="10"/>
        <v>0</v>
      </c>
      <c r="R68" s="135" t="str">
        <f t="shared" si="11"/>
        <v/>
      </c>
      <c r="S68" s="135" t="str">
        <f>IF(Q68="","",IF(Q67+Q68&lt;&gt;20,IF(Q67+Q68&lt;&gt;0,"!",""),""))</f>
        <v/>
      </c>
      <c r="T68" s="21" t="str">
        <f t="shared" si="12"/>
        <v/>
      </c>
      <c r="U68" s="132">
        <f>IF(D68="",0,VLOOKUP(D68,'Tournament Details'!$C:$X,22,FALSE))</f>
        <v>0</v>
      </c>
      <c r="V68" s="132">
        <f>IF(D68="",0,VLOOKUP(D68,'Tournament Details'!$C:$Y,23,FALSE))</f>
        <v>0</v>
      </c>
      <c r="W68" s="132">
        <f>IF(D68="",0,VLOOKUP(D68,'Tournament Details'!$C:$Z,24,FALSE))</f>
        <v>0</v>
      </c>
      <c r="X68" s="132">
        <f>IF(D68="",0,VLOOKUP(D68,'Tournament Details'!$C:$AA,25,FALSE))</f>
        <v>0</v>
      </c>
      <c r="Y68" s="40" t="str">
        <f>IF(D68="","",IF(COUNTIF(D:D,D68)&gt;1,"DUPLICATE PLAYER",IF(D67="","NO OPPONENT",IF(D67=U68,"REPEAT MATCHUP",IF(D67=V68,"REPEAT MATCHUP",IF(D67=W68,"REPEAT MATCHUP",IF(D67=X68,"REPEAT MATCHUP",IF(H68=H67,"SAME TEAM",""))))))))</f>
        <v/>
      </c>
      <c r="Z68" s="40"/>
      <c r="AA68" t="str">
        <f>IF(Y68="NO OPPONENT","",IF(Y68&lt;&gt;"",CONCATENATE("Previous Matchup Player #: ",VLOOKUP(D68,'Tournament Details'!$C:$X,22,FALSE)," - ",VLOOKUP(D68,'Tournament Details'!$C:$Y,23,FALSE)," - ",VLOOKUP(D68,'Tournament Details'!$C:$Z,24,FALSE)," - ",VLOOKUP(D68,'Tournament Details'!$C:$AA,25,FALSE)),""))</f>
        <v/>
      </c>
    </row>
    <row r="69" spans="1:27" ht="15" customHeight="1" thickBot="1" x14ac:dyDescent="0.35">
      <c r="A69" s="224" t="str">
        <f>IF('Tournament Details'!A1&gt;=1,IF(LARGE('Tournament Details'!C7:C86,1)&gt;=68,34,""),"")</f>
        <v/>
      </c>
      <c r="B69" s="42">
        <f t="shared" si="9"/>
        <v>0</v>
      </c>
      <c r="C69" s="44" t="str">
        <f t="shared" si="13"/>
        <v/>
      </c>
      <c r="D69" s="66" t="str">
        <f>IF('Tournament Details'!A1&gt;=1,IF('Tournament Details'!C73&lt;=LARGE('Round 4'!$C:$C,1),VLOOKUP(SMALL('Round 4'!$C:$C,67),'Round 4'!$C:$D,2,FALSE),""),"")</f>
        <v/>
      </c>
      <c r="E69" s="44" t="str">
        <f>IF(D69="","",B69+VLOOKUP(D69,'Round 4'!$D:$E,2,FALSE))</f>
        <v/>
      </c>
      <c r="F69" s="44" t="str">
        <f>IF(D69="","",(LARGE('Tournament Details'!$C:$C,1)+1-D69)+E69)</f>
        <v/>
      </c>
      <c r="G69" s="23" t="str">
        <f>D70</f>
        <v/>
      </c>
      <c r="H69" s="25" t="str">
        <f>IF(D69="","",IF(VLOOKUP(D69,'Tournament Details'!$C:$G,5,FALSE)="",D69,VLOOKUP(D69,'Tournament Details'!$C:$G,5,FALSE)))</f>
        <v/>
      </c>
      <c r="I69" s="7" t="str">
        <f>IF(D69=0,"",IF(VLOOKUP(D69,'Tournament Details'!$C:$E,3,FALSE)&gt;0,VLOOKUP(D69,'Tournament Details'!$C:$E,3,FALSE),""))</f>
        <v/>
      </c>
      <c r="J69" s="129"/>
      <c r="K69" s="129"/>
      <c r="L69" s="23"/>
      <c r="M69" s="23"/>
      <c r="N69" s="23"/>
      <c r="O69" s="23"/>
      <c r="P69" s="192">
        <v>0</v>
      </c>
      <c r="Q69" s="183">
        <f t="shared" si="10"/>
        <v>0</v>
      </c>
      <c r="R69" s="135" t="str">
        <f t="shared" si="11"/>
        <v/>
      </c>
      <c r="S69" s="135" t="str">
        <f>IF(Q69="","",IF(Q69+Q70&lt;&gt;20,IF(Q69+Q70&lt;&gt;0,"!",""),""))</f>
        <v/>
      </c>
      <c r="T69" s="21" t="str">
        <f t="shared" si="12"/>
        <v/>
      </c>
      <c r="U69" s="132">
        <f>IF(D69="",0,VLOOKUP(D69,'Tournament Details'!$C:$X,22,FALSE))</f>
        <v>0</v>
      </c>
      <c r="V69" s="132">
        <f>IF(D69="",0,VLOOKUP(D69,'Tournament Details'!$C:$Y,23,FALSE))</f>
        <v>0</v>
      </c>
      <c r="W69" s="132">
        <f>IF(D69="",0,VLOOKUP(D69,'Tournament Details'!$C:$Z,24,FALSE))</f>
        <v>0</v>
      </c>
      <c r="X69" s="132">
        <f>IF(D69="",0,VLOOKUP(D69,'Tournament Details'!$C:$AA,25,FALSE))</f>
        <v>0</v>
      </c>
      <c r="Y69" s="40" t="str">
        <f>IF(D69="","",IF(COUNTIF(D:D,D69)&gt;1,"DUPLICATE PLAYER",IF(D70="","NO OPPONENT",IF(D70=U69,"REPEAT MATCHUP",IF(D70=V69,"REPEAT MATCHUP",IF(D70=W69,"REPEAT MATCHUP",IF(D70=X69,"REPEAT MATCHUP",IF(H69=H70,"SAME TEAM",""))))))))</f>
        <v/>
      </c>
      <c r="Z69" s="40"/>
      <c r="AA69" t="str">
        <f>IF(Y69="NO OPPONENT","",IF(Y69&lt;&gt;"",CONCATENATE("Previous Matchup Player #: ",VLOOKUP(D69,'Tournament Details'!$C:$X,22,FALSE)," - ",VLOOKUP(D69,'Tournament Details'!$C:$Y,23,FALSE)," - ",VLOOKUP(D69,'Tournament Details'!$C:$Z,24,FALSE)," - ",VLOOKUP(D69,'Tournament Details'!$C:$AA,25,FALSE)),""))</f>
        <v/>
      </c>
    </row>
    <row r="70" spans="1:27" ht="15" customHeight="1" thickBot="1" x14ac:dyDescent="0.35">
      <c r="A70" s="224"/>
      <c r="B70" s="43">
        <f t="shared" si="9"/>
        <v>0</v>
      </c>
      <c r="C70" s="44" t="str">
        <f t="shared" si="13"/>
        <v/>
      </c>
      <c r="D70" s="74" t="str">
        <f>IF('Tournament Details'!A1&gt;=1,IF('Tournament Details'!C74&lt;=LARGE('Round 4'!$C:$C,1),VLOOKUP(SMALL('Round 4'!$C:$C,68),'Round 4'!$C:$D,2,FALSE),""),"")</f>
        <v/>
      </c>
      <c r="E70" s="44" t="str">
        <f>IF(D70="","",B70+VLOOKUP(D70,'Round 4'!$D:$E,2,FALSE))</f>
        <v/>
      </c>
      <c r="F70" s="44" t="str">
        <f>IF(D70="","",(LARGE('Tournament Details'!$C:$C,1)+1-D70)+E70)</f>
        <v/>
      </c>
      <c r="G70" s="24" t="str">
        <f>D69</f>
        <v/>
      </c>
      <c r="H70" s="26" t="str">
        <f>IF(D70="","",IF(VLOOKUP(D70,'Tournament Details'!$C:$G,5,FALSE)="",D70,VLOOKUP(D70,'Tournament Details'!$C:$G,5,FALSE)))</f>
        <v/>
      </c>
      <c r="I70" s="12" t="str">
        <f>IF(D70=0,"",IF(VLOOKUP(D70,'Tournament Details'!$C:$E,3,FALSE)&gt;0,VLOOKUP(D70,'Tournament Details'!$C:$E,3,FALSE),""))</f>
        <v/>
      </c>
      <c r="J70" s="130"/>
      <c r="K70" s="130"/>
      <c r="L70" s="23"/>
      <c r="M70" s="24"/>
      <c r="N70" s="24"/>
      <c r="O70" s="24"/>
      <c r="P70" s="193">
        <v>0</v>
      </c>
      <c r="Q70" s="183">
        <f t="shared" si="10"/>
        <v>0</v>
      </c>
      <c r="R70" s="135" t="str">
        <f t="shared" si="11"/>
        <v/>
      </c>
      <c r="S70" s="135" t="str">
        <f>IF(Q70="","",IF(Q69+Q70&lt;&gt;20,IF(Q69+Q70&lt;&gt;0,"!",""),""))</f>
        <v/>
      </c>
      <c r="T70" s="21" t="str">
        <f t="shared" si="12"/>
        <v/>
      </c>
      <c r="U70" s="132">
        <f>IF(D70="",0,VLOOKUP(D70,'Tournament Details'!$C:$X,22,FALSE))</f>
        <v>0</v>
      </c>
      <c r="V70" s="132">
        <f>IF(D70="",0,VLOOKUP(D70,'Tournament Details'!$C:$Y,23,FALSE))</f>
        <v>0</v>
      </c>
      <c r="W70" s="132">
        <f>IF(D70="",0,VLOOKUP(D70,'Tournament Details'!$C:$Z,24,FALSE))</f>
        <v>0</v>
      </c>
      <c r="X70" s="132">
        <f>IF(D70="",0,VLOOKUP(D70,'Tournament Details'!$C:$AA,25,FALSE))</f>
        <v>0</v>
      </c>
      <c r="Y70" s="40" t="str">
        <f>IF(D70="","",IF(COUNTIF(D:D,D70)&gt;1,"DUPLICATE PLAYER",IF(D69="","NO OPPONENT",IF(D69=U70,"REPEAT MATCHUP",IF(D69=V70,"REPEAT MATCHUP",IF(D69=W70,"REPEAT MATCHUP",IF(D69=X70,"REPEAT MATCHUP",IF(H70=H69,"SAME TEAM",""))))))))</f>
        <v/>
      </c>
      <c r="Z70" s="40"/>
      <c r="AA70" t="str">
        <f>IF(Y70="NO OPPONENT","",IF(Y70&lt;&gt;"",CONCATENATE("Previous Matchup Player #: ",VLOOKUP(D70,'Tournament Details'!$C:$X,22,FALSE)," - ",VLOOKUP(D70,'Tournament Details'!$C:$Y,23,FALSE)," - ",VLOOKUP(D70,'Tournament Details'!$C:$Z,24,FALSE)," - ",VLOOKUP(D70,'Tournament Details'!$C:$AA,25,FALSE)),""))</f>
        <v/>
      </c>
    </row>
    <row r="71" spans="1:27" ht="15" customHeight="1" thickBot="1" x14ac:dyDescent="0.35">
      <c r="A71" s="224" t="str">
        <f>IF('Tournament Details'!A1&gt;=1,IF(LARGE('Tournament Details'!C7:C86,1)&gt;=70,35,""),"")</f>
        <v/>
      </c>
      <c r="B71" s="42">
        <f t="shared" si="9"/>
        <v>0</v>
      </c>
      <c r="C71" s="44" t="str">
        <f t="shared" si="13"/>
        <v/>
      </c>
      <c r="D71" s="66" t="str">
        <f>IF('Tournament Details'!A1&gt;=1,IF('Tournament Details'!C75&lt;=LARGE('Round 4'!$C:$C,1),VLOOKUP(SMALL('Round 4'!$C:$C,69),'Round 4'!$C:$D,2,FALSE),""),"")</f>
        <v/>
      </c>
      <c r="E71" s="44" t="str">
        <f>IF(D71="","",B71+VLOOKUP(D71,'Round 4'!$D:$E,2,FALSE))</f>
        <v/>
      </c>
      <c r="F71" s="44" t="str">
        <f>IF(D71="","",(LARGE('Tournament Details'!$C:$C,1)+1-D71)+E71)</f>
        <v/>
      </c>
      <c r="G71" s="23" t="str">
        <f>D72</f>
        <v/>
      </c>
      <c r="H71" s="25" t="str">
        <f>IF(D71="","",IF(VLOOKUP(D71,'Tournament Details'!$C:$G,5,FALSE)="",D71,VLOOKUP(D71,'Tournament Details'!$C:$G,5,FALSE)))</f>
        <v/>
      </c>
      <c r="I71" s="7" t="str">
        <f>IF(D71=0,"",IF(VLOOKUP(D71,'Tournament Details'!$C:$E,3,FALSE)&gt;0,VLOOKUP(D71,'Tournament Details'!$C:$E,3,FALSE),""))</f>
        <v/>
      </c>
      <c r="J71" s="129"/>
      <c r="K71" s="129"/>
      <c r="L71" s="23"/>
      <c r="M71" s="23"/>
      <c r="N71" s="23"/>
      <c r="O71" s="23"/>
      <c r="P71" s="192">
        <v>0</v>
      </c>
      <c r="Q71" s="183">
        <f t="shared" si="10"/>
        <v>0</v>
      </c>
      <c r="R71" s="135" t="str">
        <f t="shared" si="11"/>
        <v/>
      </c>
      <c r="S71" s="135" t="str">
        <f>IF(Q71="","",IF(Q71+Q72&lt;&gt;20,IF(Q71+Q72&lt;&gt;0,"!",""),""))</f>
        <v/>
      </c>
      <c r="T71" s="21" t="str">
        <f t="shared" si="12"/>
        <v/>
      </c>
      <c r="U71" s="132">
        <f>IF(D71="",0,VLOOKUP(D71,'Tournament Details'!$C:$X,22,FALSE))</f>
        <v>0</v>
      </c>
      <c r="V71" s="132">
        <f>IF(D71="",0,VLOOKUP(D71,'Tournament Details'!$C:$Y,23,FALSE))</f>
        <v>0</v>
      </c>
      <c r="W71" s="132">
        <f>IF(D71="",0,VLOOKUP(D71,'Tournament Details'!$C:$Z,24,FALSE))</f>
        <v>0</v>
      </c>
      <c r="X71" s="132">
        <f>IF(D71="",0,VLOOKUP(D71,'Tournament Details'!$C:$AA,25,FALSE))</f>
        <v>0</v>
      </c>
      <c r="Y71" s="40" t="str">
        <f>IF(D71="","",IF(COUNTIF(D:D,D71)&gt;1,"DUPLICATE PLAYER",IF(D72="","NO OPPONENT",IF(D72=U71,"REPEAT MATCHUP",IF(D72=V71,"REPEAT MATCHUP",IF(D72=W71,"REPEAT MATCHUP",IF(D72=X71,"REPEAT MATCHUP",IF(H71=H72,"SAME TEAM",""))))))))</f>
        <v/>
      </c>
      <c r="Z71" s="40"/>
      <c r="AA71" t="str">
        <f>IF(Y71="NO OPPONENT","",IF(Y71&lt;&gt;"",CONCATENATE("Previous Matchup Player #: ",VLOOKUP(D71,'Tournament Details'!$C:$X,22,FALSE)," - ",VLOOKUP(D71,'Tournament Details'!$C:$Y,23,FALSE)," - ",VLOOKUP(D71,'Tournament Details'!$C:$Z,24,FALSE)," - ",VLOOKUP(D71,'Tournament Details'!$C:$AA,25,FALSE)),""))</f>
        <v/>
      </c>
    </row>
    <row r="72" spans="1:27" ht="15" customHeight="1" thickBot="1" x14ac:dyDescent="0.35">
      <c r="A72" s="224"/>
      <c r="B72" s="43">
        <f t="shared" si="9"/>
        <v>0</v>
      </c>
      <c r="C72" s="44" t="str">
        <f t="shared" si="13"/>
        <v/>
      </c>
      <c r="D72" s="74" t="str">
        <f>IF('Tournament Details'!A1&gt;=1,IF('Tournament Details'!C76&lt;=LARGE('Round 4'!$C:$C,1),VLOOKUP(SMALL('Round 4'!$C:$C,70),'Round 4'!$C:$D,2,FALSE),""),"")</f>
        <v/>
      </c>
      <c r="E72" s="44" t="str">
        <f>IF(D72="","",B72+VLOOKUP(D72,'Round 4'!$D:$E,2,FALSE))</f>
        <v/>
      </c>
      <c r="F72" s="44" t="str">
        <f>IF(D72="","",(LARGE('Tournament Details'!$C:$C,1)+1-D72)+E72)</f>
        <v/>
      </c>
      <c r="G72" s="24" t="str">
        <f>D71</f>
        <v/>
      </c>
      <c r="H72" s="26" t="str">
        <f>IF(D72="","",IF(VLOOKUP(D72,'Tournament Details'!$C:$G,5,FALSE)="",D72,VLOOKUP(D72,'Tournament Details'!$C:$G,5,FALSE)))</f>
        <v/>
      </c>
      <c r="I72" s="12" t="str">
        <f>IF(D72=0,"",IF(VLOOKUP(D72,'Tournament Details'!$C:$E,3,FALSE)&gt;0,VLOOKUP(D72,'Tournament Details'!$C:$E,3,FALSE),""))</f>
        <v/>
      </c>
      <c r="J72" s="130"/>
      <c r="K72" s="130"/>
      <c r="L72" s="23"/>
      <c r="M72" s="24"/>
      <c r="N72" s="24"/>
      <c r="O72" s="24"/>
      <c r="P72" s="193">
        <v>0</v>
      </c>
      <c r="Q72" s="183">
        <f t="shared" si="10"/>
        <v>0</v>
      </c>
      <c r="R72" s="135" t="str">
        <f t="shared" si="11"/>
        <v/>
      </c>
      <c r="S72" s="135" t="str">
        <f>IF(Q72="","",IF(Q71+Q72&lt;&gt;20,IF(Q71+Q72&lt;&gt;0,"!",""),""))</f>
        <v/>
      </c>
      <c r="T72" s="21" t="str">
        <f t="shared" si="12"/>
        <v/>
      </c>
      <c r="U72" s="132">
        <f>IF(D72="",0,VLOOKUP(D72,'Tournament Details'!$C:$X,22,FALSE))</f>
        <v>0</v>
      </c>
      <c r="V72" s="132">
        <f>IF(D72="",0,VLOOKUP(D72,'Tournament Details'!$C:$Y,23,FALSE))</f>
        <v>0</v>
      </c>
      <c r="W72" s="132">
        <f>IF(D72="",0,VLOOKUP(D72,'Tournament Details'!$C:$Z,24,FALSE))</f>
        <v>0</v>
      </c>
      <c r="X72" s="132">
        <f>IF(D72="",0,VLOOKUP(D72,'Tournament Details'!$C:$AA,25,FALSE))</f>
        <v>0</v>
      </c>
      <c r="Y72" s="40" t="str">
        <f>IF(D72="","",IF(COUNTIF(D:D,D72)&gt;1,"DUPLICATE PLAYER",IF(D71="","NO OPPONENT",IF(D71=U72,"REPEAT MATCHUP",IF(D71=V72,"REPEAT MATCHUP",IF(D71=W72,"REPEAT MATCHUP",IF(D71=X72,"REPEAT MATCHUP",IF(H72=H71,"SAME TEAM",""))))))))</f>
        <v/>
      </c>
      <c r="Z72" s="40"/>
      <c r="AA72" t="str">
        <f>IF(Y72="NO OPPONENT","",IF(Y72&lt;&gt;"",CONCATENATE("Previous Matchup Player #: ",VLOOKUP(D72,'Tournament Details'!$C:$X,22,FALSE)," - ",VLOOKUP(D72,'Tournament Details'!$C:$Y,23,FALSE)," - ",VLOOKUP(D72,'Tournament Details'!$C:$Z,24,FALSE)," - ",VLOOKUP(D72,'Tournament Details'!$C:$AA,25,FALSE)),""))</f>
        <v/>
      </c>
    </row>
    <row r="73" spans="1:27" ht="15" customHeight="1" thickBot="1" x14ac:dyDescent="0.35">
      <c r="A73" s="224" t="str">
        <f>IF('Tournament Details'!A1&gt;=1,IF(LARGE('Tournament Details'!C7:C86,1)&gt;=72,36,""),"")</f>
        <v/>
      </c>
      <c r="B73" s="42">
        <f t="shared" si="9"/>
        <v>0</v>
      </c>
      <c r="C73" s="44" t="str">
        <f t="shared" si="13"/>
        <v/>
      </c>
      <c r="D73" s="66" t="str">
        <f>IF('Tournament Details'!A1&gt;=1,IF('Tournament Details'!C77&lt;=LARGE('Round 4'!$C:$C,1),VLOOKUP(SMALL('Round 4'!$C:$C,71),'Round 4'!$C:$D,2,FALSE),""),"")</f>
        <v/>
      </c>
      <c r="E73" s="44" t="str">
        <f>IF(D73="","",B73+VLOOKUP(D73,'Round 4'!$D:$E,2,FALSE))</f>
        <v/>
      </c>
      <c r="F73" s="44" t="str">
        <f>IF(D73="","",(LARGE('Tournament Details'!$C:$C,1)+1-D73)+E73)</f>
        <v/>
      </c>
      <c r="G73" s="23" t="str">
        <f>D74</f>
        <v/>
      </c>
      <c r="H73" s="25" t="str">
        <f>IF(D73="","",IF(VLOOKUP(D73,'Tournament Details'!$C:$G,5,FALSE)="",D73,VLOOKUP(D73,'Tournament Details'!$C:$G,5,FALSE)))</f>
        <v/>
      </c>
      <c r="I73" s="7" t="str">
        <f>IF(D73=0,"",IF(VLOOKUP(D73,'Tournament Details'!$C:$E,3,FALSE)&gt;0,VLOOKUP(D73,'Tournament Details'!$C:$E,3,FALSE),""))</f>
        <v/>
      </c>
      <c r="J73" s="129"/>
      <c r="K73" s="129"/>
      <c r="L73" s="23"/>
      <c r="M73" s="23"/>
      <c r="N73" s="23"/>
      <c r="O73" s="23"/>
      <c r="P73" s="192">
        <v>0</v>
      </c>
      <c r="Q73" s="183">
        <f t="shared" si="10"/>
        <v>0</v>
      </c>
      <c r="R73" s="135" t="str">
        <f t="shared" si="11"/>
        <v/>
      </c>
      <c r="S73" s="135" t="str">
        <f>IF(Q73="","",IF(Q73+Q74&lt;&gt;20,IF(Q73+Q74&lt;&gt;0,"!",""),""))</f>
        <v/>
      </c>
      <c r="T73" s="21" t="str">
        <f t="shared" si="12"/>
        <v/>
      </c>
      <c r="U73" s="132">
        <f>IF(D73="",0,VLOOKUP(D73,'Tournament Details'!$C:$X,22,FALSE))</f>
        <v>0</v>
      </c>
      <c r="V73" s="132">
        <f>IF(D73="",0,VLOOKUP(D73,'Tournament Details'!$C:$Y,23,FALSE))</f>
        <v>0</v>
      </c>
      <c r="W73" s="132">
        <f>IF(D73="",0,VLOOKUP(D73,'Tournament Details'!$C:$Z,24,FALSE))</f>
        <v>0</v>
      </c>
      <c r="X73" s="132">
        <f>IF(D73="",0,VLOOKUP(D73,'Tournament Details'!$C:$AA,25,FALSE))</f>
        <v>0</v>
      </c>
      <c r="Y73" s="40" t="str">
        <f>IF(D73="","",IF(COUNTIF(D:D,D73)&gt;1,"DUPLICATE PLAYER",IF(D74="","NO OPPONENT",IF(D74=U73,"REPEAT MATCHUP",IF(D74=V73,"REPEAT MATCHUP",IF(D74=W73,"REPEAT MATCHUP",IF(D74=X73,"REPEAT MATCHUP",IF(H73=H74,"SAME TEAM",""))))))))</f>
        <v/>
      </c>
      <c r="Z73" s="40"/>
      <c r="AA73" t="str">
        <f>IF(Y73="NO OPPONENT","",IF(Y73&lt;&gt;"",CONCATENATE("Previous Matchup Player #: ",VLOOKUP(D73,'Tournament Details'!$C:$X,22,FALSE)," - ",VLOOKUP(D73,'Tournament Details'!$C:$Y,23,FALSE)," - ",VLOOKUP(D73,'Tournament Details'!$C:$Z,24,FALSE)," - ",VLOOKUP(D73,'Tournament Details'!$C:$AA,25,FALSE)),""))</f>
        <v/>
      </c>
    </row>
    <row r="74" spans="1:27" ht="15" customHeight="1" thickBot="1" x14ac:dyDescent="0.35">
      <c r="A74" s="224"/>
      <c r="B74" s="43">
        <f t="shared" si="9"/>
        <v>0</v>
      </c>
      <c r="C74" s="44" t="str">
        <f t="shared" si="13"/>
        <v/>
      </c>
      <c r="D74" s="74" t="str">
        <f>IF('Tournament Details'!A1&gt;=1,IF('Tournament Details'!C78&lt;=LARGE('Round 4'!$C:$C,1),VLOOKUP(SMALL('Round 4'!$C:$C,72),'Round 4'!$C:$D,2,FALSE),""),"")</f>
        <v/>
      </c>
      <c r="E74" s="44" t="str">
        <f>IF(D74="","",B74+VLOOKUP(D74,'Round 4'!$D:$E,2,FALSE))</f>
        <v/>
      </c>
      <c r="F74" s="44" t="str">
        <f>IF(D74="","",(LARGE('Tournament Details'!$C:$C,1)+1-D74)+E74)</f>
        <v/>
      </c>
      <c r="G74" s="24" t="str">
        <f>D73</f>
        <v/>
      </c>
      <c r="H74" s="26" t="str">
        <f>IF(D74="","",IF(VLOOKUP(D74,'Tournament Details'!$C:$G,5,FALSE)="",D74,VLOOKUP(D74,'Tournament Details'!$C:$G,5,FALSE)))</f>
        <v/>
      </c>
      <c r="I74" s="12" t="str">
        <f>IF(D74=0,"",IF(VLOOKUP(D74,'Tournament Details'!$C:$E,3,FALSE)&gt;0,VLOOKUP(D74,'Tournament Details'!$C:$E,3,FALSE),""))</f>
        <v/>
      </c>
      <c r="J74" s="130"/>
      <c r="K74" s="130"/>
      <c r="L74" s="23"/>
      <c r="M74" s="24"/>
      <c r="N74" s="24"/>
      <c r="O74" s="24"/>
      <c r="P74" s="193">
        <v>0</v>
      </c>
      <c r="Q74" s="183">
        <f t="shared" si="10"/>
        <v>0</v>
      </c>
      <c r="R74" s="135" t="str">
        <f t="shared" si="11"/>
        <v/>
      </c>
      <c r="S74" s="135" t="str">
        <f>IF(Q74="","",IF(Q73+Q74&lt;&gt;20,IF(Q73+Q74&lt;&gt;0,"!",""),""))</f>
        <v/>
      </c>
      <c r="T74" s="21" t="str">
        <f t="shared" si="12"/>
        <v/>
      </c>
      <c r="U74" s="132">
        <f>IF(D74="",0,VLOOKUP(D74,'Tournament Details'!$C:$X,22,FALSE))</f>
        <v>0</v>
      </c>
      <c r="V74" s="132">
        <f>IF(D74="",0,VLOOKUP(D74,'Tournament Details'!$C:$Y,23,FALSE))</f>
        <v>0</v>
      </c>
      <c r="W74" s="132">
        <f>IF(D74="",0,VLOOKUP(D74,'Tournament Details'!$C:$Z,24,FALSE))</f>
        <v>0</v>
      </c>
      <c r="X74" s="132">
        <f>IF(D74="",0,VLOOKUP(D74,'Tournament Details'!$C:$AA,25,FALSE))</f>
        <v>0</v>
      </c>
      <c r="Y74" s="40" t="str">
        <f>IF(D74="","",IF(COUNTIF(D:D,D74)&gt;1,"DUPLICATE PLAYER",IF(D73="","NO OPPONENT",IF(D73=U74,"REPEAT MATCHUP",IF(D73=V74,"REPEAT MATCHUP",IF(D73=W74,"REPEAT MATCHUP",IF(D73=X74,"REPEAT MATCHUP",IF(H74=H73,"SAME TEAM",""))))))))</f>
        <v/>
      </c>
      <c r="Z74" s="40"/>
      <c r="AA74" t="str">
        <f>IF(Y74="NO OPPONENT","",IF(Y74&lt;&gt;"",CONCATENATE("Previous Matchup Player #: ",VLOOKUP(D74,'Tournament Details'!$C:$X,22,FALSE)," - ",VLOOKUP(D74,'Tournament Details'!$C:$Y,23,FALSE)," - ",VLOOKUP(D74,'Tournament Details'!$C:$Z,24,FALSE)," - ",VLOOKUP(D74,'Tournament Details'!$C:$AA,25,FALSE)),""))</f>
        <v/>
      </c>
    </row>
    <row r="75" spans="1:27" ht="15" customHeight="1" thickBot="1" x14ac:dyDescent="0.35">
      <c r="A75" s="224" t="str">
        <f>IF('Tournament Details'!A1&gt;=1,IF(LARGE('Tournament Details'!C7:C86,1)&gt;=74,37,""),"")</f>
        <v/>
      </c>
      <c r="B75" s="42">
        <f t="shared" si="9"/>
        <v>0</v>
      </c>
      <c r="C75" s="44" t="str">
        <f t="shared" si="13"/>
        <v/>
      </c>
      <c r="D75" s="66" t="str">
        <f>IF('Tournament Details'!A1&gt;=1,IF('Tournament Details'!C79&lt;=LARGE('Round 4'!$C:$C,1),VLOOKUP(SMALL('Round 4'!$C:$C,73),'Round 4'!$C:$D,2,FALSE),""),"")</f>
        <v/>
      </c>
      <c r="E75" s="44" t="str">
        <f>IF(D75="","",B75+VLOOKUP(D75,'Round 4'!$D:$E,2,FALSE))</f>
        <v/>
      </c>
      <c r="F75" s="44" t="str">
        <f>IF(D75="","",(LARGE('Tournament Details'!$C:$C,1)+1-D75)+E75)</f>
        <v/>
      </c>
      <c r="G75" s="23" t="str">
        <f>D76</f>
        <v/>
      </c>
      <c r="H75" s="25" t="str">
        <f>IF(D75="","",IF(VLOOKUP(D75,'Tournament Details'!$C:$G,5,FALSE)="",D75,VLOOKUP(D75,'Tournament Details'!$C:$G,5,FALSE)))</f>
        <v/>
      </c>
      <c r="I75" s="7" t="str">
        <f>IF(D75=0,"",IF(VLOOKUP(D75,'Tournament Details'!$C:$E,3,FALSE)&gt;0,VLOOKUP(D75,'Tournament Details'!$C:$E,3,FALSE),""))</f>
        <v/>
      </c>
      <c r="J75" s="129"/>
      <c r="K75" s="129"/>
      <c r="L75" s="23"/>
      <c r="M75" s="23"/>
      <c r="N75" s="23"/>
      <c r="O75" s="23"/>
      <c r="P75" s="192">
        <v>0</v>
      </c>
      <c r="Q75" s="183">
        <f t="shared" si="10"/>
        <v>0</v>
      </c>
      <c r="R75" s="135" t="str">
        <f t="shared" si="11"/>
        <v/>
      </c>
      <c r="S75" s="135" t="str">
        <f>IF(Q75="","",IF(Q75+Q76&lt;&gt;20,IF(Q75+Q76&lt;&gt;0,"!",""),""))</f>
        <v/>
      </c>
      <c r="T75" s="21" t="str">
        <f t="shared" si="12"/>
        <v/>
      </c>
      <c r="U75" s="132">
        <f>IF(D75="",0,VLOOKUP(D75,'Tournament Details'!$C:$X,22,FALSE))</f>
        <v>0</v>
      </c>
      <c r="V75" s="132">
        <f>IF(D75="",0,VLOOKUP(D75,'Tournament Details'!$C:$Y,23,FALSE))</f>
        <v>0</v>
      </c>
      <c r="W75" s="132">
        <f>IF(D75="",0,VLOOKUP(D75,'Tournament Details'!$C:$Z,24,FALSE))</f>
        <v>0</v>
      </c>
      <c r="X75" s="132">
        <f>IF(D75="",0,VLOOKUP(D75,'Tournament Details'!$C:$AA,25,FALSE))</f>
        <v>0</v>
      </c>
      <c r="Y75" s="40" t="str">
        <f>IF(D75="","",IF(COUNTIF(D:D,D75)&gt;1,"DUPLICATE PLAYER",IF(D76="","NO OPPONENT",IF(D76=U75,"REPEAT MATCHUP",IF(D76=V75,"REPEAT MATCHUP",IF(D76=W75,"REPEAT MATCHUP",IF(D76=X75,"REPEAT MATCHUP",IF(H75=H76,"SAME TEAM",""))))))))</f>
        <v/>
      </c>
      <c r="Z75" s="40"/>
      <c r="AA75" t="str">
        <f>IF(Y75="NO OPPONENT","",IF(Y75&lt;&gt;"",CONCATENATE("Previous Matchup Player #: ",VLOOKUP(D75,'Tournament Details'!$C:$X,22,FALSE)," - ",VLOOKUP(D75,'Tournament Details'!$C:$Y,23,FALSE)," - ",VLOOKUP(D75,'Tournament Details'!$C:$Z,24,FALSE)," - ",VLOOKUP(D75,'Tournament Details'!$C:$AA,25,FALSE)),""))</f>
        <v/>
      </c>
    </row>
    <row r="76" spans="1:27" ht="15" customHeight="1" thickBot="1" x14ac:dyDescent="0.35">
      <c r="A76" s="224"/>
      <c r="B76" s="43">
        <f t="shared" si="9"/>
        <v>0</v>
      </c>
      <c r="C76" s="44" t="str">
        <f t="shared" si="13"/>
        <v/>
      </c>
      <c r="D76" s="74" t="str">
        <f>IF('Tournament Details'!A1&gt;=1,IF('Tournament Details'!C80&lt;=LARGE('Round 4'!$C:$C,1),VLOOKUP(SMALL('Round 4'!$C:$C,74),'Round 4'!$C:$D,2,FALSE),""),"")</f>
        <v/>
      </c>
      <c r="E76" s="44" t="str">
        <f>IF(D76="","",B76+VLOOKUP(D76,'Round 4'!$D:$E,2,FALSE))</f>
        <v/>
      </c>
      <c r="F76" s="44" t="str">
        <f>IF(D76="","",(LARGE('Tournament Details'!$C:$C,1)+1-D76)+E76)</f>
        <v/>
      </c>
      <c r="G76" s="24" t="str">
        <f>D75</f>
        <v/>
      </c>
      <c r="H76" s="26" t="str">
        <f>IF(D76="","",IF(VLOOKUP(D76,'Tournament Details'!$C:$G,5,FALSE)="",D76,VLOOKUP(D76,'Tournament Details'!$C:$G,5,FALSE)))</f>
        <v/>
      </c>
      <c r="I76" s="12" t="str">
        <f>IF(D76=0,"",IF(VLOOKUP(D76,'Tournament Details'!$C:$E,3,FALSE)&gt;0,VLOOKUP(D76,'Tournament Details'!$C:$E,3,FALSE),""))</f>
        <v/>
      </c>
      <c r="J76" s="130"/>
      <c r="K76" s="130"/>
      <c r="L76" s="23"/>
      <c r="M76" s="24"/>
      <c r="N76" s="24"/>
      <c r="O76" s="24"/>
      <c r="P76" s="193">
        <v>0</v>
      </c>
      <c r="Q76" s="183">
        <f t="shared" si="10"/>
        <v>0</v>
      </c>
      <c r="R76" s="135" t="str">
        <f t="shared" si="11"/>
        <v/>
      </c>
      <c r="S76" s="135" t="str">
        <f>IF(Q76="","",IF(Q75+Q76&lt;&gt;20,IF(Q75+Q76&lt;&gt;0,"!",""),""))</f>
        <v/>
      </c>
      <c r="T76" s="21" t="str">
        <f t="shared" si="12"/>
        <v/>
      </c>
      <c r="U76" s="132">
        <f>IF(D76="",0,VLOOKUP(D76,'Tournament Details'!$C:$X,22,FALSE))</f>
        <v>0</v>
      </c>
      <c r="V76" s="132">
        <f>IF(D76="",0,VLOOKUP(D76,'Tournament Details'!$C:$Y,23,FALSE))</f>
        <v>0</v>
      </c>
      <c r="W76" s="132">
        <f>IF(D76="",0,VLOOKUP(D76,'Tournament Details'!$C:$Z,24,FALSE))</f>
        <v>0</v>
      </c>
      <c r="X76" s="132">
        <f>IF(D76="",0,VLOOKUP(D76,'Tournament Details'!$C:$AA,25,FALSE))</f>
        <v>0</v>
      </c>
      <c r="Y76" s="40" t="str">
        <f>IF(D76="","",IF(COUNTIF(D:D,D76)&gt;1,"DUPLICATE PLAYER",IF(D75="","NO OPPONENT",IF(D75=U76,"REPEAT MATCHUP",IF(D75=V76,"REPEAT MATCHUP",IF(D75=W76,"REPEAT MATCHUP",IF(D75=X76,"REPEAT MATCHUP",IF(H76=H75,"SAME TEAM",""))))))))</f>
        <v/>
      </c>
      <c r="Z76" s="40"/>
      <c r="AA76" t="str">
        <f>IF(Y76="NO OPPONENT","",IF(Y76&lt;&gt;"",CONCATENATE("Previous Matchup Player #: ",VLOOKUP(D76,'Tournament Details'!$C:$X,22,FALSE)," - ",VLOOKUP(D76,'Tournament Details'!$C:$Y,23,FALSE)," - ",VLOOKUP(D76,'Tournament Details'!$C:$Z,24,FALSE)," - ",VLOOKUP(D76,'Tournament Details'!$C:$AA,25,FALSE)),""))</f>
        <v/>
      </c>
    </row>
    <row r="77" spans="1:27" ht="15" customHeight="1" thickBot="1" x14ac:dyDescent="0.35">
      <c r="A77" s="224" t="str">
        <f>IF('Tournament Details'!A1&gt;=1,IF(LARGE('Tournament Details'!C7:C86,1)&gt;=76,38,""),"")</f>
        <v/>
      </c>
      <c r="B77" s="42">
        <f t="shared" si="9"/>
        <v>0</v>
      </c>
      <c r="C77" s="44" t="str">
        <f t="shared" si="13"/>
        <v/>
      </c>
      <c r="D77" s="66" t="str">
        <f>IF('Tournament Details'!A1&gt;=1,IF('Tournament Details'!C81&lt;=LARGE('Round 4'!$C:$C,1),VLOOKUP(SMALL('Round 4'!$C:$C,75),'Round 4'!$C:$D,2,FALSE),""),"")</f>
        <v/>
      </c>
      <c r="E77" s="44" t="str">
        <f>IF(D77="","",B77+VLOOKUP(D77,'Round 4'!$D:$E,2,FALSE))</f>
        <v/>
      </c>
      <c r="F77" s="44" t="str">
        <f>IF(D77="","",(LARGE('Tournament Details'!$C:$C,1)+1-D77)+E77)</f>
        <v/>
      </c>
      <c r="G77" s="23" t="str">
        <f>D78</f>
        <v/>
      </c>
      <c r="H77" s="25" t="str">
        <f>IF(D77="","",IF(VLOOKUP(D77,'Tournament Details'!$C:$G,5,FALSE)="",D77,VLOOKUP(D77,'Tournament Details'!$C:$G,5,FALSE)))</f>
        <v/>
      </c>
      <c r="I77" s="7" t="str">
        <f>IF(D77=0,"",IF(VLOOKUP(D77,'Tournament Details'!$C:$E,3,FALSE)&gt;0,VLOOKUP(D77,'Tournament Details'!$C:$E,3,FALSE),""))</f>
        <v/>
      </c>
      <c r="J77" s="129"/>
      <c r="K77" s="129"/>
      <c r="L77" s="23"/>
      <c r="M77" s="23"/>
      <c r="N77" s="23"/>
      <c r="O77" s="23"/>
      <c r="P77" s="192">
        <v>0</v>
      </c>
      <c r="Q77" s="183">
        <f t="shared" si="10"/>
        <v>0</v>
      </c>
      <c r="R77" s="135" t="str">
        <f t="shared" si="11"/>
        <v/>
      </c>
      <c r="S77" s="135" t="str">
        <f>IF(Q77="","",IF(Q77+Q78&lt;&gt;20,IF(Q77+Q78&lt;&gt;0,"!",""),""))</f>
        <v/>
      </c>
      <c r="T77" s="21" t="str">
        <f t="shared" si="12"/>
        <v/>
      </c>
      <c r="U77" s="132">
        <f>IF(D77="",0,VLOOKUP(D77,'Tournament Details'!$C:$X,22,FALSE))</f>
        <v>0</v>
      </c>
      <c r="V77" s="132">
        <f>IF(D77="",0,VLOOKUP(D77,'Tournament Details'!$C:$Y,23,FALSE))</f>
        <v>0</v>
      </c>
      <c r="W77" s="132">
        <f>IF(D77="",0,VLOOKUP(D77,'Tournament Details'!$C:$Z,24,FALSE))</f>
        <v>0</v>
      </c>
      <c r="X77" s="132">
        <f>IF(D77="",0,VLOOKUP(D77,'Tournament Details'!$C:$AA,25,FALSE))</f>
        <v>0</v>
      </c>
      <c r="Y77" s="40" t="str">
        <f>IF(D77="","",IF(COUNTIF(D:D,D77)&gt;1,"DUPLICATE PLAYER",IF(D78="","NO OPPONENT",IF(D78=U77,"REPEAT MATCHUP",IF(D78=V77,"REPEAT MATCHUP",IF(D78=W77,"REPEAT MATCHUP",IF(D78=X77,"REPEAT MATCHUP",IF(H77=H78,"SAME TEAM",""))))))))</f>
        <v/>
      </c>
      <c r="Z77" s="40"/>
      <c r="AA77" t="str">
        <f>IF(Y77="NO OPPONENT","",IF(Y77&lt;&gt;"",CONCATENATE("Previous Matchup Player #: ",VLOOKUP(D77,'Tournament Details'!$C:$X,22,FALSE)," - ",VLOOKUP(D77,'Tournament Details'!$C:$Y,23,FALSE)," - ",VLOOKUP(D77,'Tournament Details'!$C:$Z,24,FALSE)," - ",VLOOKUP(D77,'Tournament Details'!$C:$AA,25,FALSE)),""))</f>
        <v/>
      </c>
    </row>
    <row r="78" spans="1:27" ht="15" customHeight="1" thickBot="1" x14ac:dyDescent="0.35">
      <c r="A78" s="224"/>
      <c r="B78" s="43">
        <f t="shared" si="9"/>
        <v>0</v>
      </c>
      <c r="C78" s="44" t="str">
        <f t="shared" si="13"/>
        <v/>
      </c>
      <c r="D78" s="74" t="str">
        <f>IF('Tournament Details'!A1&gt;=1,IF('Tournament Details'!C82&lt;=LARGE('Round 4'!$C:$C,1),VLOOKUP(SMALL('Round 4'!$C:$C,76),'Round 4'!$C:$D,2,FALSE),""),"")</f>
        <v/>
      </c>
      <c r="E78" s="44" t="str">
        <f>IF(D78="","",B78+VLOOKUP(D78,'Round 4'!$D:$E,2,FALSE))</f>
        <v/>
      </c>
      <c r="F78" s="44" t="str">
        <f>IF(D78="","",(LARGE('Tournament Details'!$C:$C,1)+1-D78)+E78)</f>
        <v/>
      </c>
      <c r="G78" s="24" t="str">
        <f>D77</f>
        <v/>
      </c>
      <c r="H78" s="26" t="str">
        <f>IF(D78="","",IF(VLOOKUP(D78,'Tournament Details'!$C:$G,5,FALSE)="",D78,VLOOKUP(D78,'Tournament Details'!$C:$G,5,FALSE)))</f>
        <v/>
      </c>
      <c r="I78" s="12" t="str">
        <f>IF(D78=0,"",IF(VLOOKUP(D78,'Tournament Details'!$C:$E,3,FALSE)&gt;0,VLOOKUP(D78,'Tournament Details'!$C:$E,3,FALSE),""))</f>
        <v/>
      </c>
      <c r="J78" s="130"/>
      <c r="K78" s="130"/>
      <c r="L78" s="23"/>
      <c r="M78" s="24"/>
      <c r="N78" s="24"/>
      <c r="O78" s="24"/>
      <c r="P78" s="193">
        <v>0</v>
      </c>
      <c r="Q78" s="183">
        <f t="shared" si="10"/>
        <v>0</v>
      </c>
      <c r="R78" s="135" t="str">
        <f t="shared" si="11"/>
        <v/>
      </c>
      <c r="S78" s="135" t="str">
        <f>IF(Q78="","",IF(Q77+Q78&lt;&gt;20,IF(Q77+Q78&lt;&gt;0,"!",""),""))</f>
        <v/>
      </c>
      <c r="T78" s="21" t="str">
        <f t="shared" si="12"/>
        <v/>
      </c>
      <c r="U78" s="132">
        <f>IF(D78="",0,VLOOKUP(D78,'Tournament Details'!$C:$X,22,FALSE))</f>
        <v>0</v>
      </c>
      <c r="V78" s="132">
        <f>IF(D78="",0,VLOOKUP(D78,'Tournament Details'!$C:$Y,23,FALSE))</f>
        <v>0</v>
      </c>
      <c r="W78" s="132">
        <f>IF(D78="",0,VLOOKUP(D78,'Tournament Details'!$C:$Z,24,FALSE))</f>
        <v>0</v>
      </c>
      <c r="X78" s="132">
        <f>IF(D78="",0,VLOOKUP(D78,'Tournament Details'!$C:$AA,25,FALSE))</f>
        <v>0</v>
      </c>
      <c r="Y78" s="40" t="str">
        <f>IF(D78="","",IF(COUNTIF(D:D,D78)&gt;1,"DUPLICATE PLAYER",IF(D77="","NO OPPONENT",IF(D77=U78,"REPEAT MATCHUP",IF(D77=V78,"REPEAT MATCHUP",IF(D77=W78,"REPEAT MATCHUP",IF(D77=X78,"REPEAT MATCHUP",IF(H78=H77,"SAME TEAM",""))))))))</f>
        <v/>
      </c>
      <c r="Z78" s="40"/>
      <c r="AA78" t="str">
        <f>IF(Y78="NO OPPONENT","",IF(Y78&lt;&gt;"",CONCATENATE("Previous Matchup Player #: ",VLOOKUP(D78,'Tournament Details'!$C:$X,22,FALSE)," - ",VLOOKUP(D78,'Tournament Details'!$C:$Y,23,FALSE)," - ",VLOOKUP(D78,'Tournament Details'!$C:$Z,24,FALSE)," - ",VLOOKUP(D78,'Tournament Details'!$C:$AA,25,FALSE)),""))</f>
        <v/>
      </c>
    </row>
    <row r="79" spans="1:27" ht="15" customHeight="1" thickBot="1" x14ac:dyDescent="0.35">
      <c r="A79" s="224" t="str">
        <f>IF('Tournament Details'!A1&gt;=1,IF(LARGE('Tournament Details'!C7:C86,1)&gt;=78,39,""),"")</f>
        <v/>
      </c>
      <c r="B79" s="42">
        <f t="shared" si="9"/>
        <v>0</v>
      </c>
      <c r="C79" s="44" t="str">
        <f t="shared" si="13"/>
        <v/>
      </c>
      <c r="D79" s="66" t="str">
        <f>IF('Tournament Details'!A1&gt;=1,IF('Tournament Details'!C83&lt;=LARGE('Round 4'!$C:$C,1),VLOOKUP(SMALL('Round 4'!$C:$C,77),'Round 4'!$C:$D,2,FALSE),""),"")</f>
        <v/>
      </c>
      <c r="E79" s="44" t="str">
        <f>IF(D79="","",B79+VLOOKUP(D79,'Round 4'!$D:$E,2,FALSE))</f>
        <v/>
      </c>
      <c r="F79" s="44" t="str">
        <f>IF(D79="","",(LARGE('Tournament Details'!$C:$C,1)+1-D79)+E79)</f>
        <v/>
      </c>
      <c r="G79" s="23" t="str">
        <f>D80</f>
        <v/>
      </c>
      <c r="H79" s="25" t="str">
        <f>IF(D79="","",IF(VLOOKUP(D79,'Tournament Details'!$C:$G,5,FALSE)="",D79,VLOOKUP(D79,'Tournament Details'!$C:$G,5,FALSE)))</f>
        <v/>
      </c>
      <c r="I79" s="7" t="str">
        <f>IF(D79=0,"",IF(VLOOKUP(D79,'Tournament Details'!$C:$E,3,FALSE)&gt;0,VLOOKUP(D79,'Tournament Details'!$C:$E,3,FALSE),""))</f>
        <v/>
      </c>
      <c r="J79" s="129"/>
      <c r="K79" s="129"/>
      <c r="L79" s="23"/>
      <c r="M79" s="23"/>
      <c r="N79" s="23"/>
      <c r="O79" s="23"/>
      <c r="P79" s="192">
        <v>0</v>
      </c>
      <c r="Q79" s="183">
        <f t="shared" si="10"/>
        <v>0</v>
      </c>
      <c r="R79" s="135" t="str">
        <f t="shared" si="11"/>
        <v/>
      </c>
      <c r="S79" s="135" t="str">
        <f>IF(Q79="","",IF(Q79+Q80&lt;&gt;20,IF(Q79+Q80&lt;&gt;0,"!",""),""))</f>
        <v/>
      </c>
      <c r="T79" s="21" t="str">
        <f t="shared" si="12"/>
        <v/>
      </c>
      <c r="U79" s="132">
        <f>IF(D79="",0,VLOOKUP(D79,'Tournament Details'!$C:$X,22,FALSE))</f>
        <v>0</v>
      </c>
      <c r="V79" s="132">
        <f>IF(D79="",0,VLOOKUP(D79,'Tournament Details'!$C:$Y,23,FALSE))</f>
        <v>0</v>
      </c>
      <c r="W79" s="132">
        <f>IF(D79="",0,VLOOKUP(D79,'Tournament Details'!$C:$Z,24,FALSE))</f>
        <v>0</v>
      </c>
      <c r="X79" s="132">
        <f>IF(D79="",0,VLOOKUP(D79,'Tournament Details'!$C:$AA,25,FALSE))</f>
        <v>0</v>
      </c>
      <c r="Y79" s="40" t="str">
        <f>IF(D79="","",IF(COUNTIF(D:D,D79)&gt;1,"DUPLICATE PLAYER",IF(D80="","NO OPPONENT",IF(D80=U79,"REPEAT MATCHUP",IF(D80=V79,"REPEAT MATCHUP",IF(D80=W79,"REPEAT MATCHUP",IF(D80=X79,"REPEAT MATCHUP",IF(H79=H80,"SAME TEAM",""))))))))</f>
        <v/>
      </c>
      <c r="Z79" s="40"/>
      <c r="AA79" t="str">
        <f>IF(Y79="NO OPPONENT","",IF(Y79&lt;&gt;"",CONCATENATE("Previous Matchup Player #: ",VLOOKUP(D79,'Tournament Details'!$C:$X,22,FALSE)," - ",VLOOKUP(D79,'Tournament Details'!$C:$Y,23,FALSE)," - ",VLOOKUP(D79,'Tournament Details'!$C:$Z,24,FALSE)," - ",VLOOKUP(D79,'Tournament Details'!$C:$AA,25,FALSE)),""))</f>
        <v/>
      </c>
    </row>
    <row r="80" spans="1:27" ht="15" customHeight="1" thickBot="1" x14ac:dyDescent="0.35">
      <c r="A80" s="224"/>
      <c r="B80" s="43">
        <f t="shared" si="9"/>
        <v>0</v>
      </c>
      <c r="C80" s="44" t="str">
        <f t="shared" si="13"/>
        <v/>
      </c>
      <c r="D80" s="74" t="str">
        <f>IF('Tournament Details'!A1&gt;=1,IF('Tournament Details'!C84&lt;=LARGE('Round 4'!$C:$C,1),VLOOKUP(SMALL('Round 4'!$C:$C,78),'Round 4'!$C:$D,2,FALSE),""),"")</f>
        <v/>
      </c>
      <c r="E80" s="44" t="str">
        <f>IF(D80="","",B80+VLOOKUP(D80,'Round 4'!$D:$E,2,FALSE))</f>
        <v/>
      </c>
      <c r="F80" s="44" t="str">
        <f>IF(D80="","",(LARGE('Tournament Details'!$C:$C,1)+1-D80)+E80)</f>
        <v/>
      </c>
      <c r="G80" s="24" t="str">
        <f>D79</f>
        <v/>
      </c>
      <c r="H80" s="26" t="str">
        <f>IF(D80="","",IF(VLOOKUP(D80,'Tournament Details'!$C:$G,5,FALSE)="",D80,VLOOKUP(D80,'Tournament Details'!$C:$G,5,FALSE)))</f>
        <v/>
      </c>
      <c r="I80" s="12" t="str">
        <f>IF(D80=0,"",IF(VLOOKUP(D80,'Tournament Details'!$C:$E,3,FALSE)&gt;0,VLOOKUP(D80,'Tournament Details'!$C:$E,3,FALSE),""))</f>
        <v/>
      </c>
      <c r="J80" s="130"/>
      <c r="K80" s="130"/>
      <c r="L80" s="23"/>
      <c r="M80" s="24"/>
      <c r="N80" s="24"/>
      <c r="O80" s="24"/>
      <c r="P80" s="193">
        <v>0</v>
      </c>
      <c r="Q80" s="183">
        <f t="shared" si="10"/>
        <v>0</v>
      </c>
      <c r="R80" s="135" t="str">
        <f t="shared" si="11"/>
        <v/>
      </c>
      <c r="S80" s="135" t="str">
        <f>IF(Q80="","",IF(Q79+Q80&lt;&gt;20,IF(Q79+Q80&lt;&gt;0,"!",""),""))</f>
        <v/>
      </c>
      <c r="T80" s="21" t="str">
        <f t="shared" si="12"/>
        <v/>
      </c>
      <c r="U80" s="132">
        <f>IF(D80="",0,VLOOKUP(D80,'Tournament Details'!$C:$X,22,FALSE))</f>
        <v>0</v>
      </c>
      <c r="V80" s="132">
        <f>IF(D80="",0,VLOOKUP(D80,'Tournament Details'!$C:$Y,23,FALSE))</f>
        <v>0</v>
      </c>
      <c r="W80" s="132">
        <f>IF(D80="",0,VLOOKUP(D80,'Tournament Details'!$C:$Z,24,FALSE))</f>
        <v>0</v>
      </c>
      <c r="X80" s="132">
        <f>IF(D80="",0,VLOOKUP(D80,'Tournament Details'!$C:$AA,25,FALSE))</f>
        <v>0</v>
      </c>
      <c r="Y80" s="40" t="str">
        <f>IF(D80="","",IF(COUNTIF(D:D,D80)&gt;1,"DUPLICATE PLAYER",IF(D79="","NO OPPONENT",IF(D79=U80,"REPEAT MATCHUP",IF(D79=V80,"REPEAT MATCHUP",IF(D79=W80,"REPEAT MATCHUP",IF(D79=X80,"REPEAT MATCHUP",IF(H80=H79,"SAME TEAM",""))))))))</f>
        <v/>
      </c>
      <c r="Z80" s="40"/>
      <c r="AA80" t="str">
        <f>IF(Y80="NO OPPONENT","",IF(Y80&lt;&gt;"",CONCATENATE("Previous Matchup Player #: ",VLOOKUP(D80,'Tournament Details'!$C:$X,22,FALSE)," - ",VLOOKUP(D80,'Tournament Details'!$C:$Y,23,FALSE)," - ",VLOOKUP(D80,'Tournament Details'!$C:$Z,24,FALSE)," - ",VLOOKUP(D80,'Tournament Details'!$C:$AA,25,FALSE)),""))</f>
        <v/>
      </c>
    </row>
    <row r="81" spans="1:27" ht="15" customHeight="1" thickBot="1" x14ac:dyDescent="0.35">
      <c r="A81" s="224" t="str">
        <f>IF('Tournament Details'!A1&gt;=1,IF(LARGE('Tournament Details'!C7:C86,1)&gt;=80,40,""),"")</f>
        <v/>
      </c>
      <c r="B81" s="42">
        <f t="shared" si="9"/>
        <v>0</v>
      </c>
      <c r="C81" s="44" t="str">
        <f t="shared" si="13"/>
        <v/>
      </c>
      <c r="D81" s="66" t="str">
        <f>IF('Tournament Details'!A1&gt;=1,IF('Tournament Details'!C85&lt;=LARGE('Round 4'!$C:$C,1),VLOOKUP(SMALL('Round 4'!$C:$C,79),'Round 4'!$C:$D,2,FALSE),""),"")</f>
        <v/>
      </c>
      <c r="E81" s="44" t="str">
        <f>IF(D81="","",B81+VLOOKUP(D81,'Round 4'!$D:$E,2,FALSE))</f>
        <v/>
      </c>
      <c r="F81" s="44" t="str">
        <f>IF(D81="","",(LARGE('Tournament Details'!$C:$C,1)+1-D81)+E81)</f>
        <v/>
      </c>
      <c r="G81" s="23" t="str">
        <f>D82</f>
        <v/>
      </c>
      <c r="H81" s="25" t="str">
        <f>IF(D81="","",IF(VLOOKUP(D81,'Tournament Details'!$C:$G,5,FALSE)="",D81,VLOOKUP(D81,'Tournament Details'!$C:$G,5,FALSE)))</f>
        <v/>
      </c>
      <c r="I81" s="7" t="str">
        <f>IF(D81=0,"",IF(VLOOKUP(D81,'Tournament Details'!$C:$E,3,FALSE)&gt;0,VLOOKUP(D81,'Tournament Details'!$C:$E,3,FALSE),""))</f>
        <v/>
      </c>
      <c r="J81" s="129"/>
      <c r="K81" s="129"/>
      <c r="L81" s="23"/>
      <c r="M81" s="23"/>
      <c r="N81" s="23"/>
      <c r="O81" s="23"/>
      <c r="P81" s="192">
        <v>0</v>
      </c>
      <c r="Q81" s="183">
        <f t="shared" si="10"/>
        <v>0</v>
      </c>
      <c r="R81" s="135" t="str">
        <f t="shared" si="11"/>
        <v/>
      </c>
      <c r="S81" s="135" t="str">
        <f>IF(Q81="","",IF(Q81+Q82&lt;&gt;20,IF(Q81+Q82&lt;&gt;0,"!",""),""))</f>
        <v/>
      </c>
      <c r="T81" s="21" t="str">
        <f t="shared" si="12"/>
        <v/>
      </c>
      <c r="U81" s="132">
        <f>IF(D81="",0,VLOOKUP(D81,'Tournament Details'!$C:$X,22,FALSE))</f>
        <v>0</v>
      </c>
      <c r="V81" s="132">
        <f>IF(D81="",0,VLOOKUP(D81,'Tournament Details'!$C:$Y,23,FALSE))</f>
        <v>0</v>
      </c>
      <c r="W81" s="132">
        <f>IF(D81="",0,VLOOKUP(D81,'Tournament Details'!$C:$Z,24,FALSE))</f>
        <v>0</v>
      </c>
      <c r="X81" s="132">
        <f>IF(D81="",0,VLOOKUP(D81,'Tournament Details'!$C:$AA,25,FALSE))</f>
        <v>0</v>
      </c>
      <c r="Y81" s="40" t="str">
        <f>IF(D81="","",IF(COUNTIF(D:D,D81)&gt;1,"DUPLICATE PLAYER",IF(D82="","NO OPPONENT",IF(D82=U81,"REPEAT MATCHUP",IF(D82=V81,"REPEAT MATCHUP",IF(D82=W81,"REPEAT MATCHUP",IF(D82=X81,"REPEAT MATCHUP",IF(H81=H82,"SAME TEAM",""))))))))</f>
        <v/>
      </c>
      <c r="Z81" s="40"/>
      <c r="AA81" t="str">
        <f>IF(Y81="NO OPPONENT","",IF(Y81&lt;&gt;"",CONCATENATE("Previous Matchup Player #: ",VLOOKUP(D81,'Tournament Details'!$C:$X,22,FALSE)," - ",VLOOKUP(D81,'Tournament Details'!$C:$Y,23,FALSE)," - ",VLOOKUP(D81,'Tournament Details'!$C:$Z,24,FALSE)," - ",VLOOKUP(D81,'Tournament Details'!$C:$AA,25,FALSE)),""))</f>
        <v/>
      </c>
    </row>
    <row r="82" spans="1:27" ht="15" customHeight="1" thickBot="1" x14ac:dyDescent="0.35">
      <c r="A82" s="224"/>
      <c r="B82" s="43">
        <f t="shared" si="9"/>
        <v>0</v>
      </c>
      <c r="C82" s="44" t="str">
        <f t="shared" si="13"/>
        <v/>
      </c>
      <c r="D82" s="74" t="str">
        <f>IF('Tournament Details'!A1&gt;=1,IF('Tournament Details'!C86&lt;=LARGE('Round 4'!$C:$C,1),VLOOKUP(SMALL('Round 4'!$C:$C,80),'Round 4'!$C:$D,2,FALSE),""),"")</f>
        <v/>
      </c>
      <c r="E82" s="44" t="str">
        <f>IF(D82="","",B82+VLOOKUP(D82,'Round 4'!$D:$E,2,FALSE))</f>
        <v/>
      </c>
      <c r="F82" s="44" t="str">
        <f>IF(D82="","",(LARGE('Tournament Details'!$C:$C,1)+1-D82)+E82)</f>
        <v/>
      </c>
      <c r="G82" s="24" t="str">
        <f>D81</f>
        <v/>
      </c>
      <c r="H82" s="26" t="str">
        <f>IF(D82="","",IF(VLOOKUP(D82,'Tournament Details'!$C:$G,5,FALSE)="",D82,VLOOKUP(D82,'Tournament Details'!$C:$G,5,FALSE)))</f>
        <v/>
      </c>
      <c r="I82" s="12" t="str">
        <f>IF(D82=0,"",IF(VLOOKUP(D82,'Tournament Details'!$C:$E,3,FALSE)&gt;0,VLOOKUP(D82,'Tournament Details'!$C:$E,3,FALSE),""))</f>
        <v/>
      </c>
      <c r="J82" s="130"/>
      <c r="K82" s="130"/>
      <c r="L82" s="23"/>
      <c r="M82" s="24"/>
      <c r="N82" s="24"/>
      <c r="O82" s="24"/>
      <c r="P82" s="193">
        <v>0</v>
      </c>
      <c r="Q82" s="183">
        <f t="shared" si="10"/>
        <v>0</v>
      </c>
      <c r="R82" s="135" t="str">
        <f t="shared" si="11"/>
        <v/>
      </c>
      <c r="S82" s="135" t="str">
        <f>IF(Q82="","",IF(Q81+Q82&lt;&gt;20,IF(Q81+Q82&lt;&gt;0,"!",""),""))</f>
        <v/>
      </c>
      <c r="T82" s="21" t="str">
        <f t="shared" si="12"/>
        <v/>
      </c>
      <c r="U82" s="132">
        <f>IF(D82="",0,VLOOKUP(D82,'Tournament Details'!$C:$X,22,FALSE))</f>
        <v>0</v>
      </c>
      <c r="V82" s="132">
        <f>IF(D82="",0,VLOOKUP(D82,'Tournament Details'!$C:$Y,23,FALSE))</f>
        <v>0</v>
      </c>
      <c r="W82" s="132">
        <f>IF(D82="",0,VLOOKUP(D82,'Tournament Details'!$C:$Z,24,FALSE))</f>
        <v>0</v>
      </c>
      <c r="X82" s="132">
        <f>IF(D82="",0,VLOOKUP(D82,'Tournament Details'!$C:$AA,25,FALSE))</f>
        <v>0</v>
      </c>
      <c r="Y82" s="40" t="str">
        <f>IF(D82="","",IF(COUNTIF(D:D,D82)&gt;1,"DUPLICATE PLAYER",IF(D81="","NO OPPONENT",IF(D81=U82,"REPEAT MATCHUP",IF(D81=V82,"REPEAT MATCHUP",IF(D81=W82,"REPEAT MATCHUP",IF(D81=X82,"REPEAT MATCHUP",IF(H82=H81,"SAME TEAM",""))))))))</f>
        <v/>
      </c>
      <c r="Z82" s="40"/>
      <c r="AA82" t="str">
        <f>IF(Y82="NO OPPONENT","",IF(Y82&lt;&gt;"",CONCATENATE("Previous Matchup Player #: ",VLOOKUP(D82,'Tournament Details'!$C:$X,22,FALSE)," - ",VLOOKUP(D82,'Tournament Details'!$C:$Y,23,FALSE)," - ",VLOOKUP(D82,'Tournament Details'!$C:$Z,24,FALSE)," - ",VLOOKUP(D82,'Tournament Details'!$C:$AA,25,FALSE)),""))</f>
        <v/>
      </c>
    </row>
  </sheetData>
  <sheetProtection algorithmName="SHA-512" hashValue="t+WCOAg1JterjX5pDJz6/tXhVzL1xInrgrklYQ3jsLJj8PzZHHJF6G8zcjV3DA5umm+3O1NXXvgHufEqWtfxHQ==" saltValue="O4nvEeu7e2bfuFhaVBtBOA==" spinCount="100000" sheet="1" selectLockedCells="1"/>
  <mergeCells count="42">
    <mergeCell ref="Y1:AA2"/>
    <mergeCell ref="A73:A74"/>
    <mergeCell ref="A75:A76"/>
    <mergeCell ref="A77:A78"/>
    <mergeCell ref="A79:A80"/>
    <mergeCell ref="A47:A48"/>
    <mergeCell ref="A25:A26"/>
    <mergeCell ref="A27:A28"/>
    <mergeCell ref="A29:A30"/>
    <mergeCell ref="A31:A32"/>
    <mergeCell ref="A33:A34"/>
    <mergeCell ref="A35:A36"/>
    <mergeCell ref="A37:A38"/>
    <mergeCell ref="A39:A40"/>
    <mergeCell ref="A41:A42"/>
    <mergeCell ref="A43:A44"/>
    <mergeCell ref="A81:A82"/>
    <mergeCell ref="A71:A72"/>
    <mergeCell ref="A49:A50"/>
    <mergeCell ref="A51:A52"/>
    <mergeCell ref="A53:A54"/>
    <mergeCell ref="A55:A56"/>
    <mergeCell ref="A57:A58"/>
    <mergeCell ref="A59:A60"/>
    <mergeCell ref="A61:A62"/>
    <mergeCell ref="A63:A64"/>
    <mergeCell ref="A65:A66"/>
    <mergeCell ref="A67:A68"/>
    <mergeCell ref="A69:A70"/>
    <mergeCell ref="A45:A46"/>
    <mergeCell ref="A23:A24"/>
    <mergeCell ref="A1:Q1"/>
    <mergeCell ref="A3:A4"/>
    <mergeCell ref="A5:A6"/>
    <mergeCell ref="A7:A8"/>
    <mergeCell ref="A9:A10"/>
    <mergeCell ref="A11:A12"/>
    <mergeCell ref="A13:A14"/>
    <mergeCell ref="A15:A16"/>
    <mergeCell ref="A17:A18"/>
    <mergeCell ref="A19:A20"/>
    <mergeCell ref="A21:A22"/>
  </mergeCells>
  <conditionalFormatting sqref="D3:D82">
    <cfRule type="cellIs" dxfId="14" priority="8" operator="equal">
      <formula>0</formula>
    </cfRule>
  </conditionalFormatting>
  <conditionalFormatting sqref="Z3:Z82">
    <cfRule type="notContainsBlanks" dxfId="13" priority="6">
      <formula>LEN(TRIM(Z3))&gt;0</formula>
    </cfRule>
  </conditionalFormatting>
  <conditionalFormatting sqref="G3:G82">
    <cfRule type="cellIs" dxfId="12" priority="5" operator="equal">
      <formula>0</formula>
    </cfRule>
  </conditionalFormatting>
  <conditionalFormatting sqref="H3:H82">
    <cfRule type="cellIs" dxfId="11" priority="3" operator="between">
      <formula>1</formula>
      <formula>10000</formula>
    </cfRule>
    <cfRule type="cellIs" dxfId="10" priority="4" operator="equal">
      <formula>0</formula>
    </cfRule>
  </conditionalFormatting>
  <conditionalFormatting sqref="A3:A82">
    <cfRule type="notContainsBlanks" dxfId="9" priority="2">
      <formula>LEN(TRIM(A3))&gt;0</formula>
    </cfRule>
  </conditionalFormatting>
  <conditionalFormatting sqref="Y3:Y82">
    <cfRule type="notContainsBlanks" dxfId="8" priority="1">
      <formula>LEN(TRIM(Y3))&gt;0</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1F4E-AB3D-4D27-ACC1-D41D9904073C}">
  <dimension ref="B1:F82"/>
  <sheetViews>
    <sheetView showGridLines="0" showRowColHeaders="0" workbookViewId="0">
      <selection activeCell="E3" sqref="E3"/>
    </sheetView>
  </sheetViews>
  <sheetFormatPr defaultRowHeight="14.4" x14ac:dyDescent="0.3"/>
  <cols>
    <col min="1" max="1" width="46.44140625" customWidth="1"/>
    <col min="2" max="2" width="8.88671875" hidden="1" customWidth="1"/>
    <col min="4" max="4" width="73.44140625" customWidth="1"/>
    <col min="5" max="6" width="17.6640625" customWidth="1"/>
    <col min="7" max="7" width="46.44140625" customWidth="1"/>
  </cols>
  <sheetData>
    <row r="1" spans="2:6" ht="8.4" customHeight="1" thickBot="1" x14ac:dyDescent="0.35"/>
    <row r="2" spans="2:6" ht="24.6" customHeight="1" thickBot="1" x14ac:dyDescent="0.35">
      <c r="B2" s="53" t="s">
        <v>121</v>
      </c>
      <c r="C2" s="28" t="s">
        <v>7</v>
      </c>
      <c r="D2" s="28" t="s">
        <v>2</v>
      </c>
      <c r="E2" s="28" t="s">
        <v>122</v>
      </c>
      <c r="F2" s="28" t="s">
        <v>123</v>
      </c>
    </row>
    <row r="3" spans="2:6" ht="15" thickBot="1" x14ac:dyDescent="0.35">
      <c r="B3" s="197">
        <f>(IF(E3="",0,E3)*1000)+(IF(F3="",0,F3)*1)</f>
        <v>0</v>
      </c>
      <c r="C3" s="194" t="str">
        <f>IF('Tournament Details'!C7="","",'Tournament Details'!C7)</f>
        <v/>
      </c>
      <c r="D3" s="8" t="str">
        <f>IF(C3="","",'Tournament Details'!E7)</f>
        <v/>
      </c>
      <c r="E3" s="198"/>
      <c r="F3" s="199"/>
    </row>
    <row r="4" spans="2:6" ht="15" thickBot="1" x14ac:dyDescent="0.35">
      <c r="B4" s="197">
        <f t="shared" ref="B4:B67" si="0">(IF(E4="",0,E4)*1000)+(IF(F4="",0,F4)*1)</f>
        <v>0</v>
      </c>
      <c r="C4" s="195" t="str">
        <f>IF('Tournament Details'!C8="","",'Tournament Details'!C8)</f>
        <v/>
      </c>
      <c r="D4" s="10" t="str">
        <f>IF(C4="","",'Tournament Details'!E8)</f>
        <v/>
      </c>
      <c r="E4" s="200"/>
      <c r="F4" s="201"/>
    </row>
    <row r="5" spans="2:6" ht="15" thickBot="1" x14ac:dyDescent="0.35">
      <c r="B5" s="197">
        <f t="shared" si="0"/>
        <v>0</v>
      </c>
      <c r="C5" s="195" t="str">
        <f>IF('Tournament Details'!C9="","",'Tournament Details'!C9)</f>
        <v/>
      </c>
      <c r="D5" s="10" t="str">
        <f>IF(C5="","",'Tournament Details'!E9)</f>
        <v/>
      </c>
      <c r="E5" s="200"/>
      <c r="F5" s="201"/>
    </row>
    <row r="6" spans="2:6" ht="15" thickBot="1" x14ac:dyDescent="0.35">
      <c r="B6" s="197">
        <f t="shared" si="0"/>
        <v>0</v>
      </c>
      <c r="C6" s="195" t="str">
        <f>IF('Tournament Details'!C10="","",'Tournament Details'!C10)</f>
        <v/>
      </c>
      <c r="D6" s="10" t="str">
        <f>IF(C6="","",'Tournament Details'!E10)</f>
        <v/>
      </c>
      <c r="E6" s="200"/>
      <c r="F6" s="201"/>
    </row>
    <row r="7" spans="2:6" ht="15" thickBot="1" x14ac:dyDescent="0.35">
      <c r="B7" s="197">
        <f t="shared" si="0"/>
        <v>0</v>
      </c>
      <c r="C7" s="195" t="str">
        <f>IF('Tournament Details'!C11="","",'Tournament Details'!C11)</f>
        <v/>
      </c>
      <c r="D7" s="10" t="str">
        <f>IF(C7="","",'Tournament Details'!E11)</f>
        <v/>
      </c>
      <c r="E7" s="200"/>
      <c r="F7" s="201"/>
    </row>
    <row r="8" spans="2:6" ht="15" thickBot="1" x14ac:dyDescent="0.35">
      <c r="B8" s="197">
        <f t="shared" si="0"/>
        <v>0</v>
      </c>
      <c r="C8" s="195" t="str">
        <f>IF('Tournament Details'!C12="","",'Tournament Details'!C12)</f>
        <v/>
      </c>
      <c r="D8" s="10" t="str">
        <f>IF(C8="","",'Tournament Details'!E12)</f>
        <v/>
      </c>
      <c r="E8" s="200"/>
      <c r="F8" s="201"/>
    </row>
    <row r="9" spans="2:6" ht="15" thickBot="1" x14ac:dyDescent="0.35">
      <c r="B9" s="197">
        <f t="shared" si="0"/>
        <v>0</v>
      </c>
      <c r="C9" s="195" t="str">
        <f>IF('Tournament Details'!C13="","",'Tournament Details'!C13)</f>
        <v/>
      </c>
      <c r="D9" s="10" t="str">
        <f>IF(C9="","",'Tournament Details'!E13)</f>
        <v/>
      </c>
      <c r="E9" s="200"/>
      <c r="F9" s="201"/>
    </row>
    <row r="10" spans="2:6" ht="15" thickBot="1" x14ac:dyDescent="0.35">
      <c r="B10" s="197">
        <f t="shared" si="0"/>
        <v>0</v>
      </c>
      <c r="C10" s="195" t="str">
        <f>IF('Tournament Details'!C14="","",'Tournament Details'!C14)</f>
        <v/>
      </c>
      <c r="D10" s="10" t="str">
        <f>IF(C10="","",'Tournament Details'!E14)</f>
        <v/>
      </c>
      <c r="E10" s="200"/>
      <c r="F10" s="201"/>
    </row>
    <row r="11" spans="2:6" ht="15" thickBot="1" x14ac:dyDescent="0.35">
      <c r="B11" s="197">
        <f t="shared" si="0"/>
        <v>0</v>
      </c>
      <c r="C11" s="195" t="str">
        <f>IF('Tournament Details'!C15="","",'Tournament Details'!C15)</f>
        <v/>
      </c>
      <c r="D11" s="10" t="str">
        <f>IF(C11="","",'Tournament Details'!E15)</f>
        <v/>
      </c>
      <c r="E11" s="200"/>
      <c r="F11" s="201"/>
    </row>
    <row r="12" spans="2:6" ht="15" thickBot="1" x14ac:dyDescent="0.35">
      <c r="B12" s="197">
        <f t="shared" si="0"/>
        <v>0</v>
      </c>
      <c r="C12" s="195" t="str">
        <f>IF('Tournament Details'!C16="","",'Tournament Details'!C16)</f>
        <v/>
      </c>
      <c r="D12" s="10" t="str">
        <f>IF(C12="","",'Tournament Details'!E16)</f>
        <v/>
      </c>
      <c r="E12" s="200"/>
      <c r="F12" s="201"/>
    </row>
    <row r="13" spans="2:6" ht="15" thickBot="1" x14ac:dyDescent="0.35">
      <c r="B13" s="197">
        <f t="shared" si="0"/>
        <v>0</v>
      </c>
      <c r="C13" s="195" t="str">
        <f>IF('Tournament Details'!C17="","",'Tournament Details'!C17)</f>
        <v/>
      </c>
      <c r="D13" s="10" t="str">
        <f>IF(C13="","",'Tournament Details'!E17)</f>
        <v/>
      </c>
      <c r="E13" s="200"/>
      <c r="F13" s="201"/>
    </row>
    <row r="14" spans="2:6" ht="15" thickBot="1" x14ac:dyDescent="0.35">
      <c r="B14" s="197">
        <f t="shared" si="0"/>
        <v>0</v>
      </c>
      <c r="C14" s="195" t="str">
        <f>IF('Tournament Details'!C18="","",'Tournament Details'!C18)</f>
        <v/>
      </c>
      <c r="D14" s="10" t="str">
        <f>IF(C14="","",'Tournament Details'!E18)</f>
        <v/>
      </c>
      <c r="E14" s="200"/>
      <c r="F14" s="201"/>
    </row>
    <row r="15" spans="2:6" ht="15" thickBot="1" x14ac:dyDescent="0.35">
      <c r="B15" s="197">
        <f t="shared" si="0"/>
        <v>0</v>
      </c>
      <c r="C15" s="195" t="str">
        <f>IF('Tournament Details'!C19="","",'Tournament Details'!C19)</f>
        <v/>
      </c>
      <c r="D15" s="10" t="str">
        <f>IF(C15="","",'Tournament Details'!E19)</f>
        <v/>
      </c>
      <c r="E15" s="200"/>
      <c r="F15" s="201"/>
    </row>
    <row r="16" spans="2:6" ht="15" thickBot="1" x14ac:dyDescent="0.35">
      <c r="B16" s="197">
        <f t="shared" si="0"/>
        <v>0</v>
      </c>
      <c r="C16" s="195" t="str">
        <f>IF('Tournament Details'!C20="","",'Tournament Details'!C20)</f>
        <v/>
      </c>
      <c r="D16" s="10" t="str">
        <f>IF(C16="","",'Tournament Details'!E20)</f>
        <v/>
      </c>
      <c r="E16" s="200"/>
      <c r="F16" s="201"/>
    </row>
    <row r="17" spans="2:6" ht="15" thickBot="1" x14ac:dyDescent="0.35">
      <c r="B17" s="197">
        <f t="shared" si="0"/>
        <v>0</v>
      </c>
      <c r="C17" s="195" t="str">
        <f>IF('Tournament Details'!C21="","",'Tournament Details'!C21)</f>
        <v/>
      </c>
      <c r="D17" s="10" t="str">
        <f>IF(C17="","",'Tournament Details'!E21)</f>
        <v/>
      </c>
      <c r="E17" s="200"/>
      <c r="F17" s="201"/>
    </row>
    <row r="18" spans="2:6" ht="15" thickBot="1" x14ac:dyDescent="0.35">
      <c r="B18" s="197">
        <f t="shared" si="0"/>
        <v>0</v>
      </c>
      <c r="C18" s="195" t="str">
        <f>IF('Tournament Details'!C22="","",'Tournament Details'!C22)</f>
        <v/>
      </c>
      <c r="D18" s="10" t="str">
        <f>IF(C18="","",'Tournament Details'!E22)</f>
        <v/>
      </c>
      <c r="E18" s="200"/>
      <c r="F18" s="201"/>
    </row>
    <row r="19" spans="2:6" ht="15" thickBot="1" x14ac:dyDescent="0.35">
      <c r="B19" s="197">
        <f t="shared" si="0"/>
        <v>0</v>
      </c>
      <c r="C19" s="195" t="str">
        <f>IF('Tournament Details'!C23="","",'Tournament Details'!C23)</f>
        <v/>
      </c>
      <c r="D19" s="10" t="str">
        <f>IF(C19="","",'Tournament Details'!E23)</f>
        <v/>
      </c>
      <c r="E19" s="200"/>
      <c r="F19" s="201"/>
    </row>
    <row r="20" spans="2:6" ht="15" thickBot="1" x14ac:dyDescent="0.35">
      <c r="B20" s="197">
        <f t="shared" si="0"/>
        <v>0</v>
      </c>
      <c r="C20" s="195" t="str">
        <f>IF('Tournament Details'!C24="","",'Tournament Details'!C24)</f>
        <v/>
      </c>
      <c r="D20" s="10" t="str">
        <f>IF(C20="","",'Tournament Details'!E24)</f>
        <v/>
      </c>
      <c r="E20" s="200"/>
      <c r="F20" s="201"/>
    </row>
    <row r="21" spans="2:6" ht="15" thickBot="1" x14ac:dyDescent="0.35">
      <c r="B21" s="197">
        <f t="shared" si="0"/>
        <v>0</v>
      </c>
      <c r="C21" s="195" t="str">
        <f>IF('Tournament Details'!C25="","",'Tournament Details'!C25)</f>
        <v/>
      </c>
      <c r="D21" s="10" t="str">
        <f>IF(C21="","",'Tournament Details'!E25)</f>
        <v/>
      </c>
      <c r="E21" s="200"/>
      <c r="F21" s="201"/>
    </row>
    <row r="22" spans="2:6" ht="15" thickBot="1" x14ac:dyDescent="0.35">
      <c r="B22" s="197">
        <f t="shared" si="0"/>
        <v>0</v>
      </c>
      <c r="C22" s="195" t="str">
        <f>IF('Tournament Details'!C26="","",'Tournament Details'!C26)</f>
        <v/>
      </c>
      <c r="D22" s="10" t="str">
        <f>IF(C22="","",'Tournament Details'!E26)</f>
        <v/>
      </c>
      <c r="E22" s="200"/>
      <c r="F22" s="201"/>
    </row>
    <row r="23" spans="2:6" ht="15" thickBot="1" x14ac:dyDescent="0.35">
      <c r="B23" s="197">
        <f t="shared" si="0"/>
        <v>0</v>
      </c>
      <c r="C23" s="195" t="str">
        <f>IF('Tournament Details'!C27="","",'Tournament Details'!C27)</f>
        <v/>
      </c>
      <c r="D23" s="10" t="str">
        <f>IF(C23="","",'Tournament Details'!E27)</f>
        <v/>
      </c>
      <c r="E23" s="200"/>
      <c r="F23" s="201"/>
    </row>
    <row r="24" spans="2:6" ht="15" thickBot="1" x14ac:dyDescent="0.35">
      <c r="B24" s="197">
        <f t="shared" si="0"/>
        <v>0</v>
      </c>
      <c r="C24" s="195" t="str">
        <f>IF('Tournament Details'!C28="","",'Tournament Details'!C28)</f>
        <v/>
      </c>
      <c r="D24" s="10" t="str">
        <f>IF(C24="","",'Tournament Details'!E28)</f>
        <v/>
      </c>
      <c r="E24" s="200"/>
      <c r="F24" s="201"/>
    </row>
    <row r="25" spans="2:6" ht="15" thickBot="1" x14ac:dyDescent="0.35">
      <c r="B25" s="197">
        <f t="shared" si="0"/>
        <v>0</v>
      </c>
      <c r="C25" s="195" t="str">
        <f>IF('Tournament Details'!C29="","",'Tournament Details'!C29)</f>
        <v/>
      </c>
      <c r="D25" s="10" t="str">
        <f>IF(C25="","",'Tournament Details'!E29)</f>
        <v/>
      </c>
      <c r="E25" s="200"/>
      <c r="F25" s="201"/>
    </row>
    <row r="26" spans="2:6" ht="15" thickBot="1" x14ac:dyDescent="0.35">
      <c r="B26" s="197">
        <f t="shared" si="0"/>
        <v>0</v>
      </c>
      <c r="C26" s="195" t="str">
        <f>IF('Tournament Details'!C30="","",'Tournament Details'!C30)</f>
        <v/>
      </c>
      <c r="D26" s="10" t="str">
        <f>IF(C26="","",'Tournament Details'!E30)</f>
        <v/>
      </c>
      <c r="E26" s="200"/>
      <c r="F26" s="201"/>
    </row>
    <row r="27" spans="2:6" ht="15" thickBot="1" x14ac:dyDescent="0.35">
      <c r="B27" s="197">
        <f t="shared" si="0"/>
        <v>0</v>
      </c>
      <c r="C27" s="195" t="str">
        <f>IF('Tournament Details'!C31="","",'Tournament Details'!C31)</f>
        <v/>
      </c>
      <c r="D27" s="10" t="str">
        <f>IF(C27="","",'Tournament Details'!E31)</f>
        <v/>
      </c>
      <c r="E27" s="200"/>
      <c r="F27" s="201"/>
    </row>
    <row r="28" spans="2:6" ht="15" thickBot="1" x14ac:dyDescent="0.35">
      <c r="B28" s="197">
        <f t="shared" si="0"/>
        <v>0</v>
      </c>
      <c r="C28" s="195" t="str">
        <f>IF('Tournament Details'!C32="","",'Tournament Details'!C32)</f>
        <v/>
      </c>
      <c r="D28" s="10" t="str">
        <f>IF(C28="","",'Tournament Details'!E32)</f>
        <v/>
      </c>
      <c r="E28" s="200"/>
      <c r="F28" s="201"/>
    </row>
    <row r="29" spans="2:6" ht="15" thickBot="1" x14ac:dyDescent="0.35">
      <c r="B29" s="197">
        <f t="shared" si="0"/>
        <v>0</v>
      </c>
      <c r="C29" s="195" t="str">
        <f>IF('Tournament Details'!C33="","",'Tournament Details'!C33)</f>
        <v/>
      </c>
      <c r="D29" s="10" t="str">
        <f>IF(C29="","",'Tournament Details'!E33)</f>
        <v/>
      </c>
      <c r="E29" s="200"/>
      <c r="F29" s="201"/>
    </row>
    <row r="30" spans="2:6" ht="15" thickBot="1" x14ac:dyDescent="0.35">
      <c r="B30" s="197">
        <f t="shared" si="0"/>
        <v>0</v>
      </c>
      <c r="C30" s="195" t="str">
        <f>IF('Tournament Details'!C34="","",'Tournament Details'!C34)</f>
        <v/>
      </c>
      <c r="D30" s="10" t="str">
        <f>IF(C30="","",'Tournament Details'!E34)</f>
        <v/>
      </c>
      <c r="E30" s="200"/>
      <c r="F30" s="201"/>
    </row>
    <row r="31" spans="2:6" ht="15" thickBot="1" x14ac:dyDescent="0.35">
      <c r="B31" s="197">
        <f t="shared" si="0"/>
        <v>0</v>
      </c>
      <c r="C31" s="195" t="str">
        <f>IF('Tournament Details'!C35="","",'Tournament Details'!C35)</f>
        <v/>
      </c>
      <c r="D31" s="10" t="str">
        <f>IF(C31="","",'Tournament Details'!E35)</f>
        <v/>
      </c>
      <c r="E31" s="200"/>
      <c r="F31" s="201"/>
    </row>
    <row r="32" spans="2:6" ht="15" thickBot="1" x14ac:dyDescent="0.35">
      <c r="B32" s="197">
        <f t="shared" si="0"/>
        <v>0</v>
      </c>
      <c r="C32" s="195" t="str">
        <f>IF('Tournament Details'!C36="","",'Tournament Details'!C36)</f>
        <v/>
      </c>
      <c r="D32" s="10" t="str">
        <f>IF(C32="","",'Tournament Details'!E36)</f>
        <v/>
      </c>
      <c r="E32" s="200"/>
      <c r="F32" s="201"/>
    </row>
    <row r="33" spans="2:6" ht="15" thickBot="1" x14ac:dyDescent="0.35">
      <c r="B33" s="197">
        <f t="shared" si="0"/>
        <v>0</v>
      </c>
      <c r="C33" s="195" t="str">
        <f>IF('Tournament Details'!C37="","",'Tournament Details'!C37)</f>
        <v/>
      </c>
      <c r="D33" s="10" t="str">
        <f>IF(C33="","",'Tournament Details'!E37)</f>
        <v/>
      </c>
      <c r="E33" s="200"/>
      <c r="F33" s="201"/>
    </row>
    <row r="34" spans="2:6" ht="15" thickBot="1" x14ac:dyDescent="0.35">
      <c r="B34" s="197">
        <f t="shared" si="0"/>
        <v>0</v>
      </c>
      <c r="C34" s="195" t="str">
        <f>IF('Tournament Details'!C38="","",'Tournament Details'!C38)</f>
        <v/>
      </c>
      <c r="D34" s="10" t="str">
        <f>IF(C34="","",'Tournament Details'!E38)</f>
        <v/>
      </c>
      <c r="E34" s="200"/>
      <c r="F34" s="201"/>
    </row>
    <row r="35" spans="2:6" ht="15" thickBot="1" x14ac:dyDescent="0.35">
      <c r="B35" s="197">
        <f t="shared" si="0"/>
        <v>0</v>
      </c>
      <c r="C35" s="195" t="str">
        <f>IF('Tournament Details'!C39="","",'Tournament Details'!C39)</f>
        <v/>
      </c>
      <c r="D35" s="10" t="str">
        <f>IF(C35="","",'Tournament Details'!E39)</f>
        <v/>
      </c>
      <c r="E35" s="200"/>
      <c r="F35" s="201"/>
    </row>
    <row r="36" spans="2:6" ht="15" thickBot="1" x14ac:dyDescent="0.35">
      <c r="B36" s="197">
        <f t="shared" si="0"/>
        <v>0</v>
      </c>
      <c r="C36" s="195" t="str">
        <f>IF('Tournament Details'!C40="","",'Tournament Details'!C40)</f>
        <v/>
      </c>
      <c r="D36" s="10" t="str">
        <f>IF(C36="","",'Tournament Details'!E40)</f>
        <v/>
      </c>
      <c r="E36" s="200"/>
      <c r="F36" s="201"/>
    </row>
    <row r="37" spans="2:6" ht="15" thickBot="1" x14ac:dyDescent="0.35">
      <c r="B37" s="197">
        <f t="shared" si="0"/>
        <v>0</v>
      </c>
      <c r="C37" s="195" t="str">
        <f>IF('Tournament Details'!C41="","",'Tournament Details'!C41)</f>
        <v/>
      </c>
      <c r="D37" s="10" t="str">
        <f>IF(C37="","",'Tournament Details'!E41)</f>
        <v/>
      </c>
      <c r="E37" s="200"/>
      <c r="F37" s="201"/>
    </row>
    <row r="38" spans="2:6" ht="15" thickBot="1" x14ac:dyDescent="0.35">
      <c r="B38" s="197">
        <f t="shared" si="0"/>
        <v>0</v>
      </c>
      <c r="C38" s="195" t="str">
        <f>IF('Tournament Details'!C42="","",'Tournament Details'!C42)</f>
        <v/>
      </c>
      <c r="D38" s="10" t="str">
        <f>IF(C38="","",'Tournament Details'!E42)</f>
        <v/>
      </c>
      <c r="E38" s="200"/>
      <c r="F38" s="201"/>
    </row>
    <row r="39" spans="2:6" ht="15" thickBot="1" x14ac:dyDescent="0.35">
      <c r="B39" s="197">
        <f t="shared" si="0"/>
        <v>0</v>
      </c>
      <c r="C39" s="195" t="str">
        <f>IF('Tournament Details'!C43="","",'Tournament Details'!C43)</f>
        <v/>
      </c>
      <c r="D39" s="10" t="str">
        <f>IF(C39="","",'Tournament Details'!E43)</f>
        <v/>
      </c>
      <c r="E39" s="200"/>
      <c r="F39" s="201"/>
    </row>
    <row r="40" spans="2:6" ht="15" thickBot="1" x14ac:dyDescent="0.35">
      <c r="B40" s="197">
        <f t="shared" si="0"/>
        <v>0</v>
      </c>
      <c r="C40" s="195" t="str">
        <f>IF('Tournament Details'!C44="","",'Tournament Details'!C44)</f>
        <v/>
      </c>
      <c r="D40" s="10" t="str">
        <f>IF(C40="","",'Tournament Details'!E44)</f>
        <v/>
      </c>
      <c r="E40" s="200"/>
      <c r="F40" s="201"/>
    </row>
    <row r="41" spans="2:6" ht="15" thickBot="1" x14ac:dyDescent="0.35">
      <c r="B41" s="197">
        <f t="shared" si="0"/>
        <v>0</v>
      </c>
      <c r="C41" s="195" t="str">
        <f>IF('Tournament Details'!C45="","",'Tournament Details'!C45)</f>
        <v/>
      </c>
      <c r="D41" s="10" t="str">
        <f>IF(C41="","",'Tournament Details'!E45)</f>
        <v/>
      </c>
      <c r="E41" s="200"/>
      <c r="F41" s="201"/>
    </row>
    <row r="42" spans="2:6" ht="15" thickBot="1" x14ac:dyDescent="0.35">
      <c r="B42" s="197">
        <f t="shared" si="0"/>
        <v>0</v>
      </c>
      <c r="C42" s="195" t="str">
        <f>IF('Tournament Details'!C46="","",'Tournament Details'!C46)</f>
        <v/>
      </c>
      <c r="D42" s="10" t="str">
        <f>IF(C42="","",'Tournament Details'!E46)</f>
        <v/>
      </c>
      <c r="E42" s="200"/>
      <c r="F42" s="201"/>
    </row>
    <row r="43" spans="2:6" ht="15" thickBot="1" x14ac:dyDescent="0.35">
      <c r="B43" s="197">
        <f t="shared" si="0"/>
        <v>0</v>
      </c>
      <c r="C43" s="195" t="str">
        <f>IF('Tournament Details'!C47="","",'Tournament Details'!C47)</f>
        <v/>
      </c>
      <c r="D43" s="10" t="str">
        <f>IF(C43="","",'Tournament Details'!E47)</f>
        <v/>
      </c>
      <c r="E43" s="200"/>
      <c r="F43" s="201"/>
    </row>
    <row r="44" spans="2:6" ht="15" thickBot="1" x14ac:dyDescent="0.35">
      <c r="B44" s="197">
        <f t="shared" si="0"/>
        <v>0</v>
      </c>
      <c r="C44" s="195" t="str">
        <f>IF('Tournament Details'!C48="","",'Tournament Details'!C48)</f>
        <v/>
      </c>
      <c r="D44" s="10" t="str">
        <f>IF(C44="","",'Tournament Details'!E48)</f>
        <v/>
      </c>
      <c r="E44" s="200"/>
      <c r="F44" s="201"/>
    </row>
    <row r="45" spans="2:6" ht="15" thickBot="1" x14ac:dyDescent="0.35">
      <c r="B45" s="197">
        <f t="shared" si="0"/>
        <v>0</v>
      </c>
      <c r="C45" s="195" t="str">
        <f>IF('Tournament Details'!C49="","",'Tournament Details'!C49)</f>
        <v/>
      </c>
      <c r="D45" s="10" t="str">
        <f>IF(C45="","",'Tournament Details'!E49)</f>
        <v/>
      </c>
      <c r="E45" s="200"/>
      <c r="F45" s="201"/>
    </row>
    <row r="46" spans="2:6" ht="15" thickBot="1" x14ac:dyDescent="0.35">
      <c r="B46" s="197">
        <f t="shared" si="0"/>
        <v>0</v>
      </c>
      <c r="C46" s="195" t="str">
        <f>IF('Tournament Details'!C50="","",'Tournament Details'!C50)</f>
        <v/>
      </c>
      <c r="D46" s="10" t="str">
        <f>IF(C46="","",'Tournament Details'!E50)</f>
        <v/>
      </c>
      <c r="E46" s="200"/>
      <c r="F46" s="201"/>
    </row>
    <row r="47" spans="2:6" ht="15" thickBot="1" x14ac:dyDescent="0.35">
      <c r="B47" s="197">
        <f t="shared" si="0"/>
        <v>0</v>
      </c>
      <c r="C47" s="195" t="str">
        <f>IF('Tournament Details'!C51="","",'Tournament Details'!C51)</f>
        <v/>
      </c>
      <c r="D47" s="10" t="str">
        <f>IF(C47="","",'Tournament Details'!E51)</f>
        <v/>
      </c>
      <c r="E47" s="200"/>
      <c r="F47" s="201"/>
    </row>
    <row r="48" spans="2:6" ht="15" thickBot="1" x14ac:dyDescent="0.35">
      <c r="B48" s="197">
        <f t="shared" si="0"/>
        <v>0</v>
      </c>
      <c r="C48" s="195" t="str">
        <f>IF('Tournament Details'!C52="","",'Tournament Details'!C52)</f>
        <v/>
      </c>
      <c r="D48" s="10" t="str">
        <f>IF(C48="","",'Tournament Details'!E52)</f>
        <v/>
      </c>
      <c r="E48" s="200"/>
      <c r="F48" s="201"/>
    </row>
    <row r="49" spans="2:6" ht="15" thickBot="1" x14ac:dyDescent="0.35">
      <c r="B49" s="197">
        <f t="shared" si="0"/>
        <v>0</v>
      </c>
      <c r="C49" s="195" t="str">
        <f>IF('Tournament Details'!C53="","",'Tournament Details'!C53)</f>
        <v/>
      </c>
      <c r="D49" s="10" t="str">
        <f>IF(C49="","",'Tournament Details'!E53)</f>
        <v/>
      </c>
      <c r="E49" s="200"/>
      <c r="F49" s="201"/>
    </row>
    <row r="50" spans="2:6" ht="15" thickBot="1" x14ac:dyDescent="0.35">
      <c r="B50" s="197">
        <f t="shared" si="0"/>
        <v>0</v>
      </c>
      <c r="C50" s="195" t="str">
        <f>IF('Tournament Details'!C54="","",'Tournament Details'!C54)</f>
        <v/>
      </c>
      <c r="D50" s="10" t="str">
        <f>IF(C50="","",'Tournament Details'!E54)</f>
        <v/>
      </c>
      <c r="E50" s="200"/>
      <c r="F50" s="201"/>
    </row>
    <row r="51" spans="2:6" ht="15" thickBot="1" x14ac:dyDescent="0.35">
      <c r="B51" s="197">
        <f t="shared" si="0"/>
        <v>0</v>
      </c>
      <c r="C51" s="195" t="str">
        <f>IF('Tournament Details'!C55="","",'Tournament Details'!C55)</f>
        <v/>
      </c>
      <c r="D51" s="10" t="str">
        <f>IF(C51="","",'Tournament Details'!E55)</f>
        <v/>
      </c>
      <c r="E51" s="200"/>
      <c r="F51" s="201"/>
    </row>
    <row r="52" spans="2:6" ht="15" thickBot="1" x14ac:dyDescent="0.35">
      <c r="B52" s="197">
        <f t="shared" si="0"/>
        <v>0</v>
      </c>
      <c r="C52" s="195" t="str">
        <f>IF('Tournament Details'!C56="","",'Tournament Details'!C56)</f>
        <v/>
      </c>
      <c r="D52" s="10" t="str">
        <f>IF(C52="","",'Tournament Details'!E56)</f>
        <v/>
      </c>
      <c r="E52" s="200"/>
      <c r="F52" s="201"/>
    </row>
    <row r="53" spans="2:6" ht="15" thickBot="1" x14ac:dyDescent="0.35">
      <c r="B53" s="197">
        <f t="shared" si="0"/>
        <v>0</v>
      </c>
      <c r="C53" s="195" t="str">
        <f>IF('Tournament Details'!C57="","",'Tournament Details'!C57)</f>
        <v/>
      </c>
      <c r="D53" s="10" t="str">
        <f>IF(C53="","",'Tournament Details'!E57)</f>
        <v/>
      </c>
      <c r="E53" s="200"/>
      <c r="F53" s="201"/>
    </row>
    <row r="54" spans="2:6" ht="15" thickBot="1" x14ac:dyDescent="0.35">
      <c r="B54" s="197">
        <f t="shared" si="0"/>
        <v>0</v>
      </c>
      <c r="C54" s="195" t="str">
        <f>IF('Tournament Details'!C58="","",'Tournament Details'!C58)</f>
        <v/>
      </c>
      <c r="D54" s="10" t="str">
        <f>IF(C54="","",'Tournament Details'!E58)</f>
        <v/>
      </c>
      <c r="E54" s="200"/>
      <c r="F54" s="201"/>
    </row>
    <row r="55" spans="2:6" ht="15" thickBot="1" x14ac:dyDescent="0.35">
      <c r="B55" s="197">
        <f t="shared" si="0"/>
        <v>0</v>
      </c>
      <c r="C55" s="195" t="str">
        <f>IF('Tournament Details'!C59="","",'Tournament Details'!C59)</f>
        <v/>
      </c>
      <c r="D55" s="10" t="str">
        <f>IF(C55="","",'Tournament Details'!E59)</f>
        <v/>
      </c>
      <c r="E55" s="200"/>
      <c r="F55" s="201"/>
    </row>
    <row r="56" spans="2:6" ht="15" thickBot="1" x14ac:dyDescent="0.35">
      <c r="B56" s="197">
        <f t="shared" si="0"/>
        <v>0</v>
      </c>
      <c r="C56" s="195" t="str">
        <f>IF('Tournament Details'!C60="","",'Tournament Details'!C60)</f>
        <v/>
      </c>
      <c r="D56" s="10" t="str">
        <f>IF(C56="","",'Tournament Details'!E60)</f>
        <v/>
      </c>
      <c r="E56" s="200"/>
      <c r="F56" s="201"/>
    </row>
    <row r="57" spans="2:6" ht="15" thickBot="1" x14ac:dyDescent="0.35">
      <c r="B57" s="197">
        <f t="shared" si="0"/>
        <v>0</v>
      </c>
      <c r="C57" s="195" t="str">
        <f>IF('Tournament Details'!C61="","",'Tournament Details'!C61)</f>
        <v/>
      </c>
      <c r="D57" s="10" t="str">
        <f>IF(C57="","",'Tournament Details'!E61)</f>
        <v/>
      </c>
      <c r="E57" s="200"/>
      <c r="F57" s="201"/>
    </row>
    <row r="58" spans="2:6" ht="15" thickBot="1" x14ac:dyDescent="0.35">
      <c r="B58" s="197">
        <f t="shared" si="0"/>
        <v>0</v>
      </c>
      <c r="C58" s="195" t="str">
        <f>IF('Tournament Details'!C62="","",'Tournament Details'!C62)</f>
        <v/>
      </c>
      <c r="D58" s="10" t="str">
        <f>IF(C58="","",'Tournament Details'!E62)</f>
        <v/>
      </c>
      <c r="E58" s="200"/>
      <c r="F58" s="201"/>
    </row>
    <row r="59" spans="2:6" ht="15" thickBot="1" x14ac:dyDescent="0.35">
      <c r="B59" s="197">
        <f t="shared" si="0"/>
        <v>0</v>
      </c>
      <c r="C59" s="195" t="str">
        <f>IF('Tournament Details'!C63="","",'Tournament Details'!C63)</f>
        <v/>
      </c>
      <c r="D59" s="10" t="str">
        <f>IF(C59="","",'Tournament Details'!E63)</f>
        <v/>
      </c>
      <c r="E59" s="200"/>
      <c r="F59" s="201"/>
    </row>
    <row r="60" spans="2:6" ht="15" thickBot="1" x14ac:dyDescent="0.35">
      <c r="B60" s="197">
        <f t="shared" si="0"/>
        <v>0</v>
      </c>
      <c r="C60" s="195" t="str">
        <f>IF('Tournament Details'!C64="","",'Tournament Details'!C64)</f>
        <v/>
      </c>
      <c r="D60" s="10" t="str">
        <f>IF(C60="","",'Tournament Details'!E64)</f>
        <v/>
      </c>
      <c r="E60" s="200"/>
      <c r="F60" s="201"/>
    </row>
    <row r="61" spans="2:6" ht="15" thickBot="1" x14ac:dyDescent="0.35">
      <c r="B61" s="197">
        <f t="shared" si="0"/>
        <v>0</v>
      </c>
      <c r="C61" s="195" t="str">
        <f>IF('Tournament Details'!C65="","",'Tournament Details'!C65)</f>
        <v/>
      </c>
      <c r="D61" s="10" t="str">
        <f>IF(C61="","",'Tournament Details'!E65)</f>
        <v/>
      </c>
      <c r="E61" s="200"/>
      <c r="F61" s="201"/>
    </row>
    <row r="62" spans="2:6" ht="15" thickBot="1" x14ac:dyDescent="0.35">
      <c r="B62" s="197">
        <f t="shared" si="0"/>
        <v>0</v>
      </c>
      <c r="C62" s="195" t="str">
        <f>IF('Tournament Details'!C66="","",'Tournament Details'!C66)</f>
        <v/>
      </c>
      <c r="D62" s="10" t="str">
        <f>IF(C62="","",'Tournament Details'!E66)</f>
        <v/>
      </c>
      <c r="E62" s="200"/>
      <c r="F62" s="201"/>
    </row>
    <row r="63" spans="2:6" ht="15" thickBot="1" x14ac:dyDescent="0.35">
      <c r="B63" s="197">
        <f t="shared" si="0"/>
        <v>0</v>
      </c>
      <c r="C63" s="195" t="str">
        <f>IF('Tournament Details'!C67="","",'Tournament Details'!C67)</f>
        <v/>
      </c>
      <c r="D63" s="10" t="str">
        <f>IF(C63="","",'Tournament Details'!E67)</f>
        <v/>
      </c>
      <c r="E63" s="200"/>
      <c r="F63" s="201"/>
    </row>
    <row r="64" spans="2:6" ht="15" thickBot="1" x14ac:dyDescent="0.35">
      <c r="B64" s="197">
        <f t="shared" si="0"/>
        <v>0</v>
      </c>
      <c r="C64" s="195" t="str">
        <f>IF('Tournament Details'!C68="","",'Tournament Details'!C68)</f>
        <v/>
      </c>
      <c r="D64" s="10" t="str">
        <f>IF(C64="","",'Tournament Details'!E68)</f>
        <v/>
      </c>
      <c r="E64" s="200"/>
      <c r="F64" s="201"/>
    </row>
    <row r="65" spans="2:6" ht="15" thickBot="1" x14ac:dyDescent="0.35">
      <c r="B65" s="197">
        <f t="shared" si="0"/>
        <v>0</v>
      </c>
      <c r="C65" s="195" t="str">
        <f>IF('Tournament Details'!C69="","",'Tournament Details'!C69)</f>
        <v/>
      </c>
      <c r="D65" s="10" t="str">
        <f>IF(C65="","",'Tournament Details'!E69)</f>
        <v/>
      </c>
      <c r="E65" s="200"/>
      <c r="F65" s="201"/>
    </row>
    <row r="66" spans="2:6" ht="15" thickBot="1" x14ac:dyDescent="0.35">
      <c r="B66" s="197">
        <f t="shared" si="0"/>
        <v>0</v>
      </c>
      <c r="C66" s="195" t="str">
        <f>IF('Tournament Details'!C70="","",'Tournament Details'!C70)</f>
        <v/>
      </c>
      <c r="D66" s="10" t="str">
        <f>IF(C66="","",'Tournament Details'!E70)</f>
        <v/>
      </c>
      <c r="E66" s="200"/>
      <c r="F66" s="201"/>
    </row>
    <row r="67" spans="2:6" ht="15" thickBot="1" x14ac:dyDescent="0.35">
      <c r="B67" s="197">
        <f t="shared" si="0"/>
        <v>0</v>
      </c>
      <c r="C67" s="195" t="str">
        <f>IF('Tournament Details'!C71="","",'Tournament Details'!C71)</f>
        <v/>
      </c>
      <c r="D67" s="10" t="str">
        <f>IF(C67="","",'Tournament Details'!E71)</f>
        <v/>
      </c>
      <c r="E67" s="200"/>
      <c r="F67" s="201"/>
    </row>
    <row r="68" spans="2:6" ht="15" thickBot="1" x14ac:dyDescent="0.35">
      <c r="B68" s="197">
        <f t="shared" ref="B68:B82" si="1">(IF(E68="",0,E68)*1000)+(IF(F68="",0,F68)*1)</f>
        <v>0</v>
      </c>
      <c r="C68" s="195" t="str">
        <f>IF('Tournament Details'!C72="","",'Tournament Details'!C72)</f>
        <v/>
      </c>
      <c r="D68" s="10" t="str">
        <f>IF(C68="","",'Tournament Details'!E72)</f>
        <v/>
      </c>
      <c r="E68" s="200"/>
      <c r="F68" s="201"/>
    </row>
    <row r="69" spans="2:6" ht="15" thickBot="1" x14ac:dyDescent="0.35">
      <c r="B69" s="197">
        <f t="shared" si="1"/>
        <v>0</v>
      </c>
      <c r="C69" s="195" t="str">
        <f>IF('Tournament Details'!C73="","",'Tournament Details'!C73)</f>
        <v/>
      </c>
      <c r="D69" s="10" t="str">
        <f>IF(C69="","",'Tournament Details'!E73)</f>
        <v/>
      </c>
      <c r="E69" s="200"/>
      <c r="F69" s="201"/>
    </row>
    <row r="70" spans="2:6" ht="15" thickBot="1" x14ac:dyDescent="0.35">
      <c r="B70" s="197">
        <f t="shared" si="1"/>
        <v>0</v>
      </c>
      <c r="C70" s="195" t="str">
        <f>IF('Tournament Details'!C74="","",'Tournament Details'!C74)</f>
        <v/>
      </c>
      <c r="D70" s="10" t="str">
        <f>IF(C70="","",'Tournament Details'!E74)</f>
        <v/>
      </c>
      <c r="E70" s="200"/>
      <c r="F70" s="201"/>
    </row>
    <row r="71" spans="2:6" ht="15" thickBot="1" x14ac:dyDescent="0.35">
      <c r="B71" s="197">
        <f t="shared" si="1"/>
        <v>0</v>
      </c>
      <c r="C71" s="195" t="str">
        <f>IF('Tournament Details'!C75="","",'Tournament Details'!C75)</f>
        <v/>
      </c>
      <c r="D71" s="10" t="str">
        <f>IF(C71="","",'Tournament Details'!E75)</f>
        <v/>
      </c>
      <c r="E71" s="200"/>
      <c r="F71" s="201"/>
    </row>
    <row r="72" spans="2:6" ht="15" thickBot="1" x14ac:dyDescent="0.35">
      <c r="B72" s="197">
        <f t="shared" si="1"/>
        <v>0</v>
      </c>
      <c r="C72" s="195" t="str">
        <f>IF('Tournament Details'!C76="","",'Tournament Details'!C76)</f>
        <v/>
      </c>
      <c r="D72" s="10" t="str">
        <f>IF(C72="","",'Tournament Details'!E76)</f>
        <v/>
      </c>
      <c r="E72" s="200"/>
      <c r="F72" s="201"/>
    </row>
    <row r="73" spans="2:6" ht="15" thickBot="1" x14ac:dyDescent="0.35">
      <c r="B73" s="197">
        <f t="shared" si="1"/>
        <v>0</v>
      </c>
      <c r="C73" s="195" t="str">
        <f>IF('Tournament Details'!C77="","",'Tournament Details'!C77)</f>
        <v/>
      </c>
      <c r="D73" s="10" t="str">
        <f>IF(C73="","",'Tournament Details'!E77)</f>
        <v/>
      </c>
      <c r="E73" s="200"/>
      <c r="F73" s="201"/>
    </row>
    <row r="74" spans="2:6" ht="15" thickBot="1" x14ac:dyDescent="0.35">
      <c r="B74" s="197">
        <f t="shared" si="1"/>
        <v>0</v>
      </c>
      <c r="C74" s="195" t="str">
        <f>IF('Tournament Details'!C78="","",'Tournament Details'!C78)</f>
        <v/>
      </c>
      <c r="D74" s="10" t="str">
        <f>IF(C74="","",'Tournament Details'!E78)</f>
        <v/>
      </c>
      <c r="E74" s="200"/>
      <c r="F74" s="201"/>
    </row>
    <row r="75" spans="2:6" ht="15" thickBot="1" x14ac:dyDescent="0.35">
      <c r="B75" s="197">
        <f t="shared" si="1"/>
        <v>0</v>
      </c>
      <c r="C75" s="195" t="str">
        <f>IF('Tournament Details'!C79="","",'Tournament Details'!C79)</f>
        <v/>
      </c>
      <c r="D75" s="10" t="str">
        <f>IF(C75="","",'Tournament Details'!E79)</f>
        <v/>
      </c>
      <c r="E75" s="200"/>
      <c r="F75" s="201"/>
    </row>
    <row r="76" spans="2:6" ht="15" thickBot="1" x14ac:dyDescent="0.35">
      <c r="B76" s="197">
        <f t="shared" si="1"/>
        <v>0</v>
      </c>
      <c r="C76" s="195" t="str">
        <f>IF('Tournament Details'!C80="","",'Tournament Details'!C80)</f>
        <v/>
      </c>
      <c r="D76" s="10" t="str">
        <f>IF(C76="","",'Tournament Details'!E80)</f>
        <v/>
      </c>
      <c r="E76" s="200"/>
      <c r="F76" s="201"/>
    </row>
    <row r="77" spans="2:6" ht="15" thickBot="1" x14ac:dyDescent="0.35">
      <c r="B77" s="197">
        <f t="shared" si="1"/>
        <v>0</v>
      </c>
      <c r="C77" s="195" t="str">
        <f>IF('Tournament Details'!C81="","",'Tournament Details'!C81)</f>
        <v/>
      </c>
      <c r="D77" s="10" t="str">
        <f>IF(C77="","",'Tournament Details'!E81)</f>
        <v/>
      </c>
      <c r="E77" s="200"/>
      <c r="F77" s="201"/>
    </row>
    <row r="78" spans="2:6" ht="15" thickBot="1" x14ac:dyDescent="0.35">
      <c r="B78" s="197">
        <f t="shared" si="1"/>
        <v>0</v>
      </c>
      <c r="C78" s="195" t="str">
        <f>IF('Tournament Details'!C82="","",'Tournament Details'!C82)</f>
        <v/>
      </c>
      <c r="D78" s="10" t="str">
        <f>IF(C78="","",'Tournament Details'!E82)</f>
        <v/>
      </c>
      <c r="E78" s="200"/>
      <c r="F78" s="201"/>
    </row>
    <row r="79" spans="2:6" ht="15" thickBot="1" x14ac:dyDescent="0.35">
      <c r="B79" s="197">
        <f t="shared" si="1"/>
        <v>0</v>
      </c>
      <c r="C79" s="195" t="str">
        <f>IF('Tournament Details'!C83="","",'Tournament Details'!C83)</f>
        <v/>
      </c>
      <c r="D79" s="10" t="str">
        <f>IF(C79="","",'Tournament Details'!E83)</f>
        <v/>
      </c>
      <c r="E79" s="200"/>
      <c r="F79" s="201"/>
    </row>
    <row r="80" spans="2:6" ht="15" thickBot="1" x14ac:dyDescent="0.35">
      <c r="B80" s="197">
        <f t="shared" si="1"/>
        <v>0</v>
      </c>
      <c r="C80" s="195" t="str">
        <f>IF('Tournament Details'!C84="","",'Tournament Details'!C84)</f>
        <v/>
      </c>
      <c r="D80" s="10" t="str">
        <f>IF(C80="","",'Tournament Details'!E84)</f>
        <v/>
      </c>
      <c r="E80" s="200"/>
      <c r="F80" s="201"/>
    </row>
    <row r="81" spans="2:6" ht="15" thickBot="1" x14ac:dyDescent="0.35">
      <c r="B81" s="197">
        <f t="shared" si="1"/>
        <v>0</v>
      </c>
      <c r="C81" s="195" t="str">
        <f>IF('Tournament Details'!C85="","",'Tournament Details'!C85)</f>
        <v/>
      </c>
      <c r="D81" s="10" t="str">
        <f>IF(C81="","",'Tournament Details'!E85)</f>
        <v/>
      </c>
      <c r="E81" s="200"/>
      <c r="F81" s="201"/>
    </row>
    <row r="82" spans="2:6" ht="15" thickBot="1" x14ac:dyDescent="0.35">
      <c r="B82" s="197">
        <f t="shared" si="1"/>
        <v>0</v>
      </c>
      <c r="C82" s="196" t="str">
        <f>IF('Tournament Details'!C86="","",'Tournament Details'!C86)</f>
        <v/>
      </c>
      <c r="D82" s="13" t="str">
        <f>IF(C82="","",'Tournament Details'!E86)</f>
        <v/>
      </c>
      <c r="E82" s="202"/>
      <c r="F82" s="203"/>
    </row>
  </sheetData>
  <sheetProtection algorithmName="SHA-512" hashValue="rsJLZnds6ZRzGzwnGJuEuadHxCVoqNnLOzcT/R0LYtTgEfBoHI/DBa/vjKBPPL0j0NrcMySddi3kqoex7LZe2g==" saltValue="2+8zxBss7+cGZUsZ47CZjA==" spinCount="100000" sheet="1" objects="1" scenarios="1" select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0"/>
  <sheetViews>
    <sheetView showGridLines="0" showRowColHeaders="0" zoomScaleNormal="100" workbookViewId="0">
      <pane ySplit="10" topLeftCell="A11" activePane="bottomLeft" state="frozen"/>
      <selection pane="bottomLeft" activeCell="R4" sqref="R4:U4"/>
    </sheetView>
  </sheetViews>
  <sheetFormatPr defaultRowHeight="14.4" x14ac:dyDescent="0.3"/>
  <cols>
    <col min="1" max="1" width="0.88671875" style="82" customWidth="1"/>
    <col min="2" max="2" width="3.77734375" style="83" customWidth="1"/>
    <col min="3" max="3" width="8.88671875" style="83"/>
    <col min="4" max="4" width="8.88671875" style="83" hidden="1" customWidth="1"/>
    <col min="5" max="5" width="10.77734375" style="83" customWidth="1"/>
    <col min="6" max="6" width="8.88671875" style="83"/>
    <col min="7" max="7" width="42.33203125" style="83" customWidth="1"/>
    <col min="8" max="8" width="15" style="83" customWidth="1"/>
    <col min="9" max="9" width="8.88671875" style="83" customWidth="1"/>
    <col min="10" max="21" width="8.88671875" style="83"/>
    <col min="22" max="22" width="0.88671875" style="83" customWidth="1"/>
    <col min="23" max="16384" width="8.88671875" style="83"/>
  </cols>
  <sheetData>
    <row r="1" spans="1:21" ht="8.4" customHeight="1" thickBot="1" x14ac:dyDescent="0.35"/>
    <row r="2" spans="1:21" ht="14.4" customHeight="1" thickBot="1" x14ac:dyDescent="0.35">
      <c r="I2" s="283" t="s">
        <v>43</v>
      </c>
      <c r="J2" s="284"/>
      <c r="K2" s="284"/>
      <c r="L2" s="284"/>
      <c r="M2" s="284"/>
      <c r="N2" s="285"/>
      <c r="P2" s="276" t="s">
        <v>47</v>
      </c>
      <c r="Q2" s="277"/>
      <c r="R2" s="277"/>
      <c r="S2" s="277"/>
      <c r="T2" s="277"/>
      <c r="U2" s="278"/>
    </row>
    <row r="3" spans="1:21" ht="14.4" customHeight="1" x14ac:dyDescent="0.3">
      <c r="I3" s="291" t="s">
        <v>12</v>
      </c>
      <c r="J3" s="292"/>
      <c r="K3" s="286" t="str">
        <f>IF(COUNTIF(E:E,I3)&lt;1,"N/A",VLOOKUP(LARGE('Tournament Details'!$I:$I,1),'Tournament Details'!$I:$N,6,FALSE))</f>
        <v>N/A</v>
      </c>
      <c r="L3" s="287"/>
      <c r="M3" s="287"/>
      <c r="N3" s="288"/>
      <c r="P3" s="279" t="s">
        <v>44</v>
      </c>
      <c r="Q3" s="280"/>
      <c r="R3" s="310" t="str">
        <f>IF(MAX('Sporting Votes'!$B:$B)=0,"",VLOOKUP(MAX('Sporting Votes'!$B:$B),'Sporting Votes'!$B:$D,3,FALSE))</f>
        <v/>
      </c>
      <c r="S3" s="310"/>
      <c r="T3" s="310"/>
      <c r="U3" s="311"/>
    </row>
    <row r="4" spans="1:21" ht="14.4" customHeight="1" x14ac:dyDescent="0.3">
      <c r="I4" s="293" t="s">
        <v>13</v>
      </c>
      <c r="J4" s="294"/>
      <c r="K4" s="300" t="str">
        <f>IF(COUNTIF(E:E,I4)&lt;1,"N/A",VLOOKUP(LARGE('Tournament Details'!$J:$J,1),'Tournament Details'!$J:$N,5,FALSE))</f>
        <v>N/A</v>
      </c>
      <c r="L4" s="301"/>
      <c r="M4" s="301"/>
      <c r="N4" s="302"/>
      <c r="P4" s="281" t="s">
        <v>45</v>
      </c>
      <c r="Q4" s="282"/>
      <c r="R4" s="312"/>
      <c r="S4" s="312"/>
      <c r="T4" s="312"/>
      <c r="U4" s="313"/>
    </row>
    <row r="5" spans="1:21" ht="14.4" customHeight="1" x14ac:dyDescent="0.3">
      <c r="I5" s="295" t="s">
        <v>14</v>
      </c>
      <c r="J5" s="296"/>
      <c r="K5" s="300" t="str">
        <f>IF(COUNTIF(E:E,I5)&lt;1,"N/A",VLOOKUP(LARGE('Tournament Details'!$K:$K,1),'Tournament Details'!$K:$N,4,FALSE))</f>
        <v>N/A</v>
      </c>
      <c r="L5" s="301"/>
      <c r="M5" s="301"/>
      <c r="N5" s="302"/>
      <c r="P5" s="281" t="s">
        <v>52</v>
      </c>
      <c r="Q5" s="282"/>
      <c r="R5" s="314" t="str">
        <f>IF('Tournament Details'!$Q$4&gt;0,VLOOKUP(1,'Tournament Details'!$P:$Q,2,FALSE),"")</f>
        <v/>
      </c>
      <c r="S5" s="314"/>
      <c r="T5" s="314"/>
      <c r="U5" s="315"/>
    </row>
    <row r="6" spans="1:21" ht="14.4" customHeight="1" thickBot="1" x14ac:dyDescent="0.35">
      <c r="I6" s="297" t="s">
        <v>15</v>
      </c>
      <c r="J6" s="298"/>
      <c r="K6" s="303" t="str">
        <f>IF(COUNTIF(E:E,I6)&lt;1,"N/A",VLOOKUP(LARGE('Tournament Details'!$L:$L,1),'Tournament Details'!$L:$N,3,FALSE))</f>
        <v>N/A</v>
      </c>
      <c r="L6" s="304"/>
      <c r="M6" s="304"/>
      <c r="N6" s="305"/>
      <c r="P6" s="308" t="s">
        <v>46</v>
      </c>
      <c r="Q6" s="309"/>
      <c r="R6" s="316" t="str">
        <f>IF('Tournament Details'!A1&gt;=1,VLOOKUP(LARGE(C:C,1),C:G,5,FALSE),"")</f>
        <v/>
      </c>
      <c r="S6" s="316"/>
      <c r="T6" s="316"/>
      <c r="U6" s="317"/>
    </row>
    <row r="7" spans="1:21" ht="14.4" customHeight="1" x14ac:dyDescent="0.3">
      <c r="I7" s="299"/>
      <c r="J7" s="299"/>
      <c r="K7" s="306"/>
      <c r="L7" s="306"/>
      <c r="M7" s="306"/>
      <c r="N7" s="306"/>
      <c r="P7" s="307"/>
      <c r="Q7" s="307"/>
      <c r="S7" s="307"/>
      <c r="T7" s="307"/>
      <c r="U7" s="307"/>
    </row>
    <row r="8" spans="1:21" ht="14.4" customHeight="1" thickBot="1" x14ac:dyDescent="0.35"/>
    <row r="9" spans="1:21" ht="14.4" customHeight="1" thickBot="1" x14ac:dyDescent="0.35">
      <c r="C9" s="256" t="s">
        <v>37</v>
      </c>
      <c r="D9" s="258" t="s">
        <v>7</v>
      </c>
      <c r="E9" s="256" t="s">
        <v>10</v>
      </c>
      <c r="F9" s="256" t="s">
        <v>8</v>
      </c>
      <c r="G9" s="256" t="s">
        <v>2</v>
      </c>
      <c r="H9" s="252" t="s">
        <v>20</v>
      </c>
      <c r="I9" s="253"/>
      <c r="J9" s="260" t="s">
        <v>6</v>
      </c>
      <c r="K9" s="261"/>
      <c r="L9" s="270" t="s">
        <v>24</v>
      </c>
      <c r="M9" s="271"/>
      <c r="N9" s="272" t="s">
        <v>30</v>
      </c>
      <c r="O9" s="273"/>
      <c r="P9" s="274" t="s">
        <v>31</v>
      </c>
      <c r="Q9" s="275"/>
      <c r="R9" s="248" t="s">
        <v>32</v>
      </c>
      <c r="S9" s="249"/>
      <c r="T9" s="250" t="s">
        <v>27</v>
      </c>
      <c r="U9" s="251"/>
    </row>
    <row r="10" spans="1:21" ht="15" thickBot="1" x14ac:dyDescent="0.35">
      <c r="C10" s="257"/>
      <c r="D10" s="259"/>
      <c r="E10" s="257"/>
      <c r="F10" s="257"/>
      <c r="G10" s="257"/>
      <c r="H10" s="254"/>
      <c r="I10" s="255"/>
      <c r="J10" s="84" t="s">
        <v>4</v>
      </c>
      <c r="K10" s="84" t="s">
        <v>38</v>
      </c>
      <c r="L10" s="85" t="s">
        <v>4</v>
      </c>
      <c r="M10" s="85" t="s">
        <v>38</v>
      </c>
      <c r="N10" s="86" t="s">
        <v>4</v>
      </c>
      <c r="O10" s="86" t="s">
        <v>38</v>
      </c>
      <c r="P10" s="87" t="s">
        <v>4</v>
      </c>
      <c r="Q10" s="87" t="s">
        <v>38</v>
      </c>
      <c r="R10" s="88" t="s">
        <v>4</v>
      </c>
      <c r="S10" s="88" t="s">
        <v>38</v>
      </c>
      <c r="T10" s="89" t="s">
        <v>4</v>
      </c>
      <c r="U10" s="89" t="s">
        <v>38</v>
      </c>
    </row>
    <row r="11" spans="1:21" x14ac:dyDescent="0.3">
      <c r="A11" s="82">
        <f>IF(D11="",0,'Tournament Details'!G4)</f>
        <v>0</v>
      </c>
      <c r="B11" s="90">
        <v>1</v>
      </c>
      <c r="C11" s="91" t="str">
        <f>IF('Tournament Details'!C7="","",B11)</f>
        <v/>
      </c>
      <c r="D11" s="92" t="str">
        <f>IF('Tournament Details'!C7="","",VLOOKUP(C11,'Tournament Details'!$B:$C,2,FALSE))</f>
        <v/>
      </c>
      <c r="E11" s="93" t="str">
        <f>IF(D11="","",VLOOKUP(D11,'Tournament Details'!$C:$H,6,FALSE))</f>
        <v/>
      </c>
      <c r="F11" s="93" t="str">
        <f>IF(D11="","",VLOOKUP(D11,'Tournament Details'!$C:$D,2,FALSE))</f>
        <v/>
      </c>
      <c r="G11" s="94" t="str">
        <f>IF(D11="","",VLOOKUP(D11,'Tournament Details'!$C:$E,3,FALSE))</f>
        <v/>
      </c>
      <c r="H11" s="262" t="str">
        <f>IF(D11="","",IF(VLOOKUP(D11,'Tournament Details'!$C:$G,5,FALSE)="","",VLOOKUP(D11,'Tournament Details'!$C:$G,5,FALSE)))</f>
        <v/>
      </c>
      <c r="I11" s="263"/>
      <c r="J11" s="143" t="str">
        <f>IF(D11="","",IF(COUNTIF('Round 1'!$D:$D,B11)=1,IF(VLOOKUP(D11,'Round 1'!$D:$Q,14,FALSE)="",0,IF(A11&gt;=1,VLOOKUP(D11,'Round 1'!$D:$Q,14,FALSE),0)),0))</f>
        <v/>
      </c>
      <c r="K11" s="144" t="str">
        <f>IF(D11="","",IF(COUNTIF('Round 1'!$D:$D,B11)=1,IF(VLOOKUP(D11,'Round 1'!$D:$Q,14,FALSE)="",0,IF(A11&gt;=1,VLOOKUP(D11,'Round 1'!$D:$K,8,FALSE),0)),0))</f>
        <v/>
      </c>
      <c r="L11" s="145" t="str">
        <f>IF(D11="","",IF(COUNTIF('Round 2'!$D:$D,B11)=1,IF(VLOOKUP(D11,'Round 2'!$D:$Q,14,FALSE)="",0,IF(A11&gt;=2,VLOOKUP(D11,'Round 2'!$D:$Q,14,FALSE),0)),0))</f>
        <v/>
      </c>
      <c r="M11" s="146" t="str">
        <f>IF(D11="","",IF(COUNTIF('Round 2'!$D:$D,B11)=1,IF(VLOOKUP(D11,'Round 2'!$D:$Q,14,FALSE)="",0,IF(A11&gt;=2,VLOOKUP(D11,'Round 2'!$D:$K,8,FALSE),0)),0))</f>
        <v/>
      </c>
      <c r="N11" s="147" t="str">
        <f>IF(D11="","",IF(COUNTIF('Round 3'!$D:$D,B11)=1,IF(VLOOKUP(D11,'Round 3'!$D:$Q,14,FALSE)="",0,IF(A11&gt;=3,VLOOKUP(D11,'Round 3'!$D:$Q,14,FALSE),0)),0))</f>
        <v/>
      </c>
      <c r="O11" s="148" t="str">
        <f>IF(D11="","",IF(COUNTIF('Round 3'!$D:$D,B11)=1,IF(VLOOKUP(D11,'Round 3'!$D:$Q,14,FALSE)="",0,IF(A11&gt;=3,VLOOKUP(D11,'Round 3'!$D:$K,8,FALSE),0)),0))</f>
        <v/>
      </c>
      <c r="P11" s="149" t="str">
        <f>IF(D11="","",IF(COUNTIF('Round 4'!$D:$D,B11)=1,IF(VLOOKUP(D11,'Round 4'!$D:$Q,14,FALSE)="",0,IF(A11&gt;=4,VLOOKUP(D11,'Round 4'!$D:$Q,14,FALSE),0)),0))</f>
        <v/>
      </c>
      <c r="Q11" s="150" t="str">
        <f>IF(D11="","",IF(COUNTIF('Round 4'!$D:$D,B11)=1,IF(VLOOKUP(D11,'Round 4'!$D:$Q,14,FALSE)="",0,IF(A11&gt;=4,VLOOKUP(D11,'Round 4'!$D:$K,8,FALSE),0)),0))</f>
        <v/>
      </c>
      <c r="R11" s="151" t="str">
        <f>IF(D11="","",IF(COUNTIF('Round 5'!$D:$D,B11)=1,IF(VLOOKUP(D11,'Round 5'!$D:$Q,14,FALSE)="",0,IF(A11&gt;=5,VLOOKUP(D11,'Round 5'!$D:$Q,14,FALSE),0)),0))</f>
        <v/>
      </c>
      <c r="S11" s="152" t="str">
        <f>IF(D11="","",IF(COUNTIF('Round 5'!$D:$D,B11)=1,IF(VLOOKUP(D11,'Round 5'!$D:$Q,14,FALSE)="",0,IF(A11&gt;=5,VLOOKUP(D11,'Round 5'!$D:$K,8,FALSE),0)),0))</f>
        <v/>
      </c>
      <c r="T11" s="153" t="str">
        <f>IF(D11="","",J11+L11+N11+P11+R11)</f>
        <v/>
      </c>
      <c r="U11" s="154" t="str">
        <f>IF(D11="","",K11+M11+O11+Q11+S11)</f>
        <v/>
      </c>
    </row>
    <row r="12" spans="1:21" ht="14.4" customHeight="1" x14ac:dyDescent="0.3">
      <c r="A12" s="82">
        <f>IF(D11="",0,'Tournament Details'!G4)</f>
        <v>0</v>
      </c>
      <c r="B12" s="90">
        <v>2</v>
      </c>
      <c r="C12" s="104" t="str">
        <f>IF('Tournament Details'!C8="","",B12)</f>
        <v/>
      </c>
      <c r="D12" s="105" t="str">
        <f>IF('Tournament Details'!C8="","",VLOOKUP(C12,'Tournament Details'!$B:$C,2,FALSE))</f>
        <v/>
      </c>
      <c r="E12" s="106" t="str">
        <f>IF(D12="","",VLOOKUP(D12,'Tournament Details'!$C:$H,6,FALSE))</f>
        <v/>
      </c>
      <c r="F12" s="106" t="str">
        <f>IF(D12="","",VLOOKUP(D12,'Tournament Details'!$C:$D,2,FALSE))</f>
        <v/>
      </c>
      <c r="G12" s="107" t="str">
        <f>IF(D12="","",VLOOKUP(D12,'Tournament Details'!$C:$E,3,FALSE))</f>
        <v/>
      </c>
      <c r="H12" s="264" t="str">
        <f>IF(D12="","",IF(VLOOKUP(D12,'Tournament Details'!$C:$G,5,FALSE)="","",VLOOKUP(D12,'Tournament Details'!$C:$G,5,FALSE)))</f>
        <v/>
      </c>
      <c r="I12" s="265"/>
      <c r="J12" s="155" t="str">
        <f>IF(D12="","",IF(COUNTIF('Round 1'!$D:$D,B12)=1,IF(VLOOKUP(D12,'Round 1'!$D:$Q,14,FALSE)="",0,IF(A12&gt;=1,VLOOKUP(D12,'Round 1'!$D:$Q,14,FALSE),0)),0))</f>
        <v/>
      </c>
      <c r="K12" s="95" t="str">
        <f>IF(D12="","",IF(COUNTIF('Round 1'!$D:$D,B12)=1,IF(VLOOKUP(D12,'Round 1'!$D:$Q,14,FALSE)="",0,IF(A12&gt;=1,VLOOKUP(D12,'Round 1'!$D:$K,8,FALSE),0)),0))</f>
        <v/>
      </c>
      <c r="L12" s="96" t="str">
        <f>IF(D12="","",IF(COUNTIF('Round 2'!$D:$D,B12)=1,IF(VLOOKUP(D12,'Round 2'!$D:$Q,14,FALSE)="",0,IF(A12&gt;=2,VLOOKUP(D12,'Round 2'!$D:$Q,14,FALSE),0)),0))</f>
        <v/>
      </c>
      <c r="M12" s="97" t="str">
        <f>IF(D12="","",IF(COUNTIF('Round 2'!$D:$D,B12)=1,IF(VLOOKUP(D12,'Round 2'!$D:$Q,14,FALSE)="",0,IF(A12&gt;=2,VLOOKUP(D12,'Round 2'!$D:$K,8,FALSE),0)),0))</f>
        <v/>
      </c>
      <c r="N12" s="98" t="str">
        <f>IF(D12="","",IF(COUNTIF('Round 3'!$D:$D,B12)=1,IF(VLOOKUP(D12,'Round 3'!$D:$Q,14,FALSE)="",0,IF(A12&gt;=3,VLOOKUP(D12,'Round 3'!$D:$Q,14,FALSE),0)),0))</f>
        <v/>
      </c>
      <c r="O12" s="99" t="str">
        <f>IF(D12="","",IF(COUNTIF('Round 3'!$D:$D,B12)=1,IF(VLOOKUP(D12,'Round 3'!$D:$Q,14,FALSE)="",0,IF(A12&gt;=3,VLOOKUP(D12,'Round 3'!$D:$K,8,FALSE),0)),0))</f>
        <v/>
      </c>
      <c r="P12" s="100" t="str">
        <f>IF(D12="","",IF(COUNTIF('Round 4'!$D:$D,B12)=1,IF(VLOOKUP(D12,'Round 4'!$D:$Q,14,FALSE)="",0,IF(A12&gt;=4,VLOOKUP(D12,'Round 4'!$D:$Q,14,FALSE),0)),0))</f>
        <v/>
      </c>
      <c r="Q12" s="101" t="str">
        <f>IF(D12="","",IF(COUNTIF('Round 4'!$D:$D,B12)=1,IF(VLOOKUP(D12,'Round 4'!$D:$Q,14,FALSE)="",0,IF(A12&gt;=4,VLOOKUP(D12,'Round 4'!$D:$K,8,FALSE),0)),0))</f>
        <v/>
      </c>
      <c r="R12" s="102" t="str">
        <f>IF(D12="","",IF(COUNTIF('Round 5'!$D:$D,B12)=1,IF(VLOOKUP(D12,'Round 5'!$D:$Q,14,FALSE)="",0,IF(A12&gt;=5,VLOOKUP(D12,'Round 5'!$D:$Q,14,FALSE),0)),0))</f>
        <v/>
      </c>
      <c r="S12" s="103" t="str">
        <f>IF(D12="","",IF(COUNTIF('Round 5'!$D:$D,B12)=1,IF(VLOOKUP(D12,'Round 5'!$D:$Q,14,FALSE)="",0,IF(A12&gt;=5,VLOOKUP(D12,'Round 5'!$D:$K,8,FALSE),0)),0))</f>
        <v/>
      </c>
      <c r="T12" s="108" t="str">
        <f t="shared" ref="T12:T75" si="0">IF(D12="","",J12+L12+N12+P12+R12)</f>
        <v/>
      </c>
      <c r="U12" s="137" t="str">
        <f t="shared" ref="U12:U75" si="1">IF(D12="","",K12+M12+O12+Q12+S12)</f>
        <v/>
      </c>
    </row>
    <row r="13" spans="1:21" x14ac:dyDescent="0.3">
      <c r="A13" s="82">
        <f>IF(D11="",0,'Tournament Details'!G4)</f>
        <v>0</v>
      </c>
      <c r="B13" s="90">
        <v>3</v>
      </c>
      <c r="C13" s="109" t="str">
        <f>IF('Tournament Details'!C9="","",B13)</f>
        <v/>
      </c>
      <c r="D13" s="105" t="str">
        <f>IF('Tournament Details'!C9="","",VLOOKUP(C13,'Tournament Details'!$B:$C,2,FALSE))</f>
        <v/>
      </c>
      <c r="E13" s="110" t="str">
        <f>IF(D13="","",VLOOKUP(D13,'Tournament Details'!$C:$H,6,FALSE))</f>
        <v/>
      </c>
      <c r="F13" s="110" t="str">
        <f>IF(D13="","",VLOOKUP(D13,'Tournament Details'!$C:$D,2,FALSE))</f>
        <v/>
      </c>
      <c r="G13" s="111" t="str">
        <f>IF(D13="","",VLOOKUP(D13,'Tournament Details'!$C:$E,3,FALSE))</f>
        <v/>
      </c>
      <c r="H13" s="266" t="str">
        <f>IF(D13="","",IF(VLOOKUP(D13,'Tournament Details'!$C:$G,5,FALSE)="","",VLOOKUP(D13,'Tournament Details'!$C:$G,5,FALSE)))</f>
        <v/>
      </c>
      <c r="I13" s="267"/>
      <c r="J13" s="155" t="str">
        <f>IF(D13="","",IF(COUNTIF('Round 1'!$D:$D,B13)=1,IF(VLOOKUP(D13,'Round 1'!$D:$Q,14,FALSE)="",0,IF(A13&gt;=1,VLOOKUP(D13,'Round 1'!$D:$Q,14,FALSE),0)),0))</f>
        <v/>
      </c>
      <c r="K13" s="95" t="str">
        <f>IF(D13="","",IF(COUNTIF('Round 1'!$D:$D,B13)=1,IF(VLOOKUP(D13,'Round 1'!$D:$Q,14,FALSE)="",0,IF(A13&gt;=1,VLOOKUP(D13,'Round 1'!$D:$K,8,FALSE),0)),0))</f>
        <v/>
      </c>
      <c r="L13" s="96" t="str">
        <f>IF(D13="","",IF(COUNTIF('Round 2'!$D:$D,B13)=1,IF(VLOOKUP(D13,'Round 2'!$D:$Q,14,FALSE)="",0,IF(A13&gt;=2,VLOOKUP(D13,'Round 2'!$D:$Q,14,FALSE),0)),0))</f>
        <v/>
      </c>
      <c r="M13" s="97" t="str">
        <f>IF(D13="","",IF(COUNTIF('Round 2'!$D:$D,B13)=1,IF(VLOOKUP(D13,'Round 2'!$D:$Q,14,FALSE)="",0,IF(A13&gt;=2,VLOOKUP(D13,'Round 2'!$D:$K,8,FALSE),0)),0))</f>
        <v/>
      </c>
      <c r="N13" s="98" t="str">
        <f>IF(D13="","",IF(COUNTIF('Round 3'!$D:$D,B13)=1,IF(VLOOKUP(D13,'Round 3'!$D:$Q,14,FALSE)="",0,IF(A13&gt;=3,VLOOKUP(D13,'Round 3'!$D:$Q,14,FALSE),0)),0))</f>
        <v/>
      </c>
      <c r="O13" s="99" t="str">
        <f>IF(D13="","",IF(COUNTIF('Round 3'!$D:$D,B13)=1,IF(VLOOKUP(D13,'Round 3'!$D:$Q,14,FALSE)="",0,IF(A13&gt;=3,VLOOKUP(D13,'Round 3'!$D:$K,8,FALSE),0)),0))</f>
        <v/>
      </c>
      <c r="P13" s="100" t="str">
        <f>IF(D13="","",IF(COUNTIF('Round 4'!$D:$D,B13)=1,IF(VLOOKUP(D13,'Round 4'!$D:$Q,14,FALSE)="",0,IF(A13&gt;=4,VLOOKUP(D13,'Round 4'!$D:$Q,14,FALSE),0)),0))</f>
        <v/>
      </c>
      <c r="Q13" s="101" t="str">
        <f>IF(D13="","",IF(COUNTIF('Round 4'!$D:$D,B13)=1,IF(VLOOKUP(D13,'Round 4'!$D:$Q,14,FALSE)="",0,IF(A13&gt;=4,VLOOKUP(D13,'Round 4'!$D:$K,8,FALSE),0)),0))</f>
        <v/>
      </c>
      <c r="R13" s="102" t="str">
        <f>IF(D13="","",IF(COUNTIF('Round 5'!$D:$D,B13)=1,IF(VLOOKUP(D13,'Round 5'!$D:$Q,14,FALSE)="",0,IF(A13&gt;=5,VLOOKUP(D13,'Round 5'!$D:$Q,14,FALSE),0)),0))</f>
        <v/>
      </c>
      <c r="S13" s="103" t="str">
        <f>IF(D13="","",IF(COUNTIF('Round 5'!$D:$D,B13)=1,IF(VLOOKUP(D13,'Round 5'!$D:$Q,14,FALSE)="",0,IF(A13&gt;=5,VLOOKUP(D13,'Round 5'!$D:$K,8,FALSE),0)),0))</f>
        <v/>
      </c>
      <c r="T13" s="108" t="str">
        <f t="shared" si="0"/>
        <v/>
      </c>
      <c r="U13" s="137" t="str">
        <f t="shared" si="1"/>
        <v/>
      </c>
    </row>
    <row r="14" spans="1:21" x14ac:dyDescent="0.3">
      <c r="A14" s="82">
        <f>IF(D11="",0,'Tournament Details'!G4)</f>
        <v>0</v>
      </c>
      <c r="B14" s="90">
        <v>4</v>
      </c>
      <c r="C14" s="112" t="str">
        <f>IF('Tournament Details'!C10="","",B14)</f>
        <v/>
      </c>
      <c r="D14" s="105" t="str">
        <f>IF('Tournament Details'!C10="","",VLOOKUP(C14,'Tournament Details'!$B:$C,2,FALSE))</f>
        <v/>
      </c>
      <c r="E14" s="113" t="str">
        <f>IF(D14="","",VLOOKUP(D14,'Tournament Details'!$C:$H,6,FALSE))</f>
        <v/>
      </c>
      <c r="F14" s="113" t="str">
        <f>IF(D14="","",VLOOKUP(D14,'Tournament Details'!$C:$D,2,FALSE))</f>
        <v/>
      </c>
      <c r="G14" s="114" t="str">
        <f>IF(D14="","",VLOOKUP(D14,'Tournament Details'!$C:$E,3,FALSE))</f>
        <v/>
      </c>
      <c r="H14" s="268" t="str">
        <f>IF(D14="","",IF(VLOOKUP(D14,'Tournament Details'!$C:$G,5,FALSE)="","",VLOOKUP(D14,'Tournament Details'!$C:$G,5,FALSE)))</f>
        <v/>
      </c>
      <c r="I14" s="269"/>
      <c r="J14" s="155" t="str">
        <f>IF(D14="","",IF(COUNTIF('Round 1'!$D:$D,B14)=1,IF(VLOOKUP(D14,'Round 1'!$D:$Q,14,FALSE)="",0,IF(A14&gt;=1,VLOOKUP(D14,'Round 1'!$D:$Q,14,FALSE),0)),0))</f>
        <v/>
      </c>
      <c r="K14" s="95" t="str">
        <f>IF(D14="","",IF(COUNTIF('Round 1'!$D:$D,B14)=1,IF(VLOOKUP(D14,'Round 1'!$D:$Q,14,FALSE)="",0,IF(A14&gt;=1,VLOOKUP(D14,'Round 1'!$D:$K,8,FALSE),0)),0))</f>
        <v/>
      </c>
      <c r="L14" s="96" t="str">
        <f>IF(D14="","",IF(COUNTIF('Round 2'!$D:$D,B14)=1,IF(VLOOKUP(D14,'Round 2'!$D:$Q,14,FALSE)="",0,IF(A14&gt;=2,VLOOKUP(D14,'Round 2'!$D:$Q,14,FALSE),0)),0))</f>
        <v/>
      </c>
      <c r="M14" s="97" t="str">
        <f>IF(D14="","",IF(COUNTIF('Round 2'!$D:$D,B14)=1,IF(VLOOKUP(D14,'Round 2'!$D:$Q,14,FALSE)="",0,IF(A14&gt;=2,VLOOKUP(D14,'Round 2'!$D:$K,8,FALSE),0)),0))</f>
        <v/>
      </c>
      <c r="N14" s="98" t="str">
        <f>IF(D14="","",IF(COUNTIF('Round 3'!$D:$D,B14)=1,IF(VLOOKUP(D14,'Round 3'!$D:$Q,14,FALSE)="",0,IF(A14&gt;=3,VLOOKUP(D14,'Round 3'!$D:$Q,14,FALSE),0)),0))</f>
        <v/>
      </c>
      <c r="O14" s="99" t="str">
        <f>IF(D14="","",IF(COUNTIF('Round 3'!$D:$D,B14)=1,IF(VLOOKUP(D14,'Round 3'!$D:$Q,14,FALSE)="",0,IF(A14&gt;=3,VLOOKUP(D14,'Round 3'!$D:$K,8,FALSE),0)),0))</f>
        <v/>
      </c>
      <c r="P14" s="100" t="str">
        <f>IF(D14="","",IF(COUNTIF('Round 4'!$D:$D,B14)=1,IF(VLOOKUP(D14,'Round 4'!$D:$Q,14,FALSE)="",0,IF(A14&gt;=4,VLOOKUP(D14,'Round 4'!$D:$Q,14,FALSE),0)),0))</f>
        <v/>
      </c>
      <c r="Q14" s="101" t="str">
        <f>IF(D14="","",IF(COUNTIF('Round 4'!$D:$D,B14)=1,IF(VLOOKUP(D14,'Round 4'!$D:$Q,14,FALSE)="",0,IF(A14&gt;=4,VLOOKUP(D14,'Round 4'!$D:$K,8,FALSE),0)),0))</f>
        <v/>
      </c>
      <c r="R14" s="102" t="str">
        <f>IF(D14="","",IF(COUNTIF('Round 5'!$D:$D,B14)=1,IF(VLOOKUP(D14,'Round 5'!$D:$Q,14,FALSE)="",0,IF(A14&gt;=5,VLOOKUP(D14,'Round 5'!$D:$Q,14,FALSE),0)),0))</f>
        <v/>
      </c>
      <c r="S14" s="103" t="str">
        <f>IF(D14="","",IF(COUNTIF('Round 5'!$D:$D,B14)=1,IF(VLOOKUP(D14,'Round 5'!$D:$Q,14,FALSE)="",0,IF(A14&gt;=5,VLOOKUP(D14,'Round 5'!$D:$K,8,FALSE),0)),0))</f>
        <v/>
      </c>
      <c r="T14" s="108" t="str">
        <f t="shared" si="0"/>
        <v/>
      </c>
      <c r="U14" s="137" t="str">
        <f t="shared" si="1"/>
        <v/>
      </c>
    </row>
    <row r="15" spans="1:21" x14ac:dyDescent="0.3">
      <c r="A15" s="82">
        <f>IF(D11="",0,'Tournament Details'!G4)</f>
        <v>0</v>
      </c>
      <c r="B15" s="90">
        <v>5</v>
      </c>
      <c r="C15" s="112" t="str">
        <f>IF('Tournament Details'!C11="","",B15)</f>
        <v/>
      </c>
      <c r="D15" s="105" t="str">
        <f>IF('Tournament Details'!C11="","",VLOOKUP(C15,'Tournament Details'!$B:$C,2,FALSE))</f>
        <v/>
      </c>
      <c r="E15" s="113" t="str">
        <f>IF(D15="","",VLOOKUP(D15,'Tournament Details'!$C:$H,6,FALSE))</f>
        <v/>
      </c>
      <c r="F15" s="113" t="str">
        <f>IF(D15="","",VLOOKUP(D15,'Tournament Details'!$C:$D,2,FALSE))</f>
        <v/>
      </c>
      <c r="G15" s="114" t="str">
        <f>IF(D15="","",VLOOKUP(D15,'Tournament Details'!$C:$E,3,FALSE))</f>
        <v/>
      </c>
      <c r="H15" s="268" t="str">
        <f>IF(D15="","",IF(VLOOKUP(D15,'Tournament Details'!$C:$G,5,FALSE)="","",VLOOKUP(D15,'Tournament Details'!$C:$G,5,FALSE)))</f>
        <v/>
      </c>
      <c r="I15" s="269"/>
      <c r="J15" s="155" t="str">
        <f>IF(D15="","",IF(COUNTIF('Round 1'!$D:$D,B15)=1,IF(VLOOKUP(D15,'Round 1'!$D:$Q,14,FALSE)="",0,IF(A15&gt;=1,VLOOKUP(D15,'Round 1'!$D:$Q,14,FALSE),0)),0))</f>
        <v/>
      </c>
      <c r="K15" s="95" t="str">
        <f>IF(D15="","",IF(COUNTIF('Round 1'!$D:$D,B15)=1,IF(VLOOKUP(D15,'Round 1'!$D:$Q,14,FALSE)="",0,IF(A15&gt;=1,VLOOKUP(D15,'Round 1'!$D:$K,8,FALSE),0)),0))</f>
        <v/>
      </c>
      <c r="L15" s="96" t="str">
        <f>IF(D15="","",IF(COUNTIF('Round 2'!$D:$D,B15)=1,IF(VLOOKUP(D15,'Round 2'!$D:$Q,14,FALSE)="",0,IF(A15&gt;=2,VLOOKUP(D15,'Round 2'!$D:$Q,14,FALSE),0)),0))</f>
        <v/>
      </c>
      <c r="M15" s="97" t="str">
        <f>IF(D15="","",IF(COUNTIF('Round 2'!$D:$D,B15)=1,IF(VLOOKUP(D15,'Round 2'!$D:$Q,14,FALSE)="",0,IF(A15&gt;=2,VLOOKUP(D15,'Round 2'!$D:$K,8,FALSE),0)),0))</f>
        <v/>
      </c>
      <c r="N15" s="98" t="str">
        <f>IF(D15="","",IF(COUNTIF('Round 3'!$D:$D,B15)=1,IF(VLOOKUP(D15,'Round 3'!$D:$Q,14,FALSE)="",0,IF(A15&gt;=3,VLOOKUP(D15,'Round 3'!$D:$Q,14,FALSE),0)),0))</f>
        <v/>
      </c>
      <c r="O15" s="99" t="str">
        <f>IF(D15="","",IF(COUNTIF('Round 3'!$D:$D,B15)=1,IF(VLOOKUP(D15,'Round 3'!$D:$Q,14,FALSE)="",0,IF(A15&gt;=3,VLOOKUP(D15,'Round 3'!$D:$K,8,FALSE),0)),0))</f>
        <v/>
      </c>
      <c r="P15" s="100" t="str">
        <f>IF(D15="","",IF(COUNTIF('Round 4'!$D:$D,B15)=1,IF(VLOOKUP(D15,'Round 4'!$D:$Q,14,FALSE)="",0,IF(A15&gt;=4,VLOOKUP(D15,'Round 4'!$D:$Q,14,FALSE),0)),0))</f>
        <v/>
      </c>
      <c r="Q15" s="101" t="str">
        <f>IF(D15="","",IF(COUNTIF('Round 4'!$D:$D,B15)=1,IF(VLOOKUP(D15,'Round 4'!$D:$Q,14,FALSE)="",0,IF(A15&gt;=4,VLOOKUP(D15,'Round 4'!$D:$K,8,FALSE),0)),0))</f>
        <v/>
      </c>
      <c r="R15" s="102" t="str">
        <f>IF(D15="","",IF(COUNTIF('Round 5'!$D:$D,B15)=1,IF(VLOOKUP(D15,'Round 5'!$D:$Q,14,FALSE)="",0,IF(A15&gt;=5,VLOOKUP(D15,'Round 5'!$D:$Q,14,FALSE),0)),0))</f>
        <v/>
      </c>
      <c r="S15" s="103" t="str">
        <f>IF(D15="","",IF(COUNTIF('Round 5'!$D:$D,B15)=1,IF(VLOOKUP(D15,'Round 5'!$D:$Q,14,FALSE)="",0,IF(A15&gt;=5,VLOOKUP(D15,'Round 5'!$D:$K,8,FALSE),0)),0))</f>
        <v/>
      </c>
      <c r="T15" s="108" t="str">
        <f t="shared" si="0"/>
        <v/>
      </c>
      <c r="U15" s="137" t="str">
        <f t="shared" si="1"/>
        <v/>
      </c>
    </row>
    <row r="16" spans="1:21" x14ac:dyDescent="0.3">
      <c r="A16" s="82">
        <f>IF(D11="",0,'Tournament Details'!G4)</f>
        <v>0</v>
      </c>
      <c r="B16" s="90">
        <v>6</v>
      </c>
      <c r="C16" s="112" t="str">
        <f>IF('Tournament Details'!C12="","",B16)</f>
        <v/>
      </c>
      <c r="D16" s="105" t="str">
        <f>IF('Tournament Details'!C12="","",VLOOKUP(C16,'Tournament Details'!$B:$C,2,FALSE))</f>
        <v/>
      </c>
      <c r="E16" s="113" t="str">
        <f>IF(D16="","",VLOOKUP(D16,'Tournament Details'!$C:$H,6,FALSE))</f>
        <v/>
      </c>
      <c r="F16" s="113" t="str">
        <f>IF(D16="","",VLOOKUP(D16,'Tournament Details'!$C:$D,2,FALSE))</f>
        <v/>
      </c>
      <c r="G16" s="114" t="str">
        <f>IF(D16="","",VLOOKUP(D16,'Tournament Details'!$C:$E,3,FALSE))</f>
        <v/>
      </c>
      <c r="H16" s="268" t="str">
        <f>IF(D16="","",IF(VLOOKUP(D16,'Tournament Details'!$C:$G,5,FALSE)="","",VLOOKUP(D16,'Tournament Details'!$C:$G,5,FALSE)))</f>
        <v/>
      </c>
      <c r="I16" s="269"/>
      <c r="J16" s="155" t="str">
        <f>IF(D16="","",IF(COUNTIF('Round 1'!$D:$D,B16)=1,IF(VLOOKUP(D16,'Round 1'!$D:$Q,14,FALSE)="",0,IF(A16&gt;=1,VLOOKUP(D16,'Round 1'!$D:$Q,14,FALSE),0)),0))</f>
        <v/>
      </c>
      <c r="K16" s="95" t="str">
        <f>IF(D16="","",IF(COUNTIF('Round 1'!$D:$D,B16)=1,IF(VLOOKUP(D16,'Round 1'!$D:$Q,14,FALSE)="",0,IF(A16&gt;=1,VLOOKUP(D16,'Round 1'!$D:$K,8,FALSE),0)),0))</f>
        <v/>
      </c>
      <c r="L16" s="96" t="str">
        <f>IF(D16="","",IF(COUNTIF('Round 2'!$D:$D,B16)=1,IF(VLOOKUP(D16,'Round 2'!$D:$Q,14,FALSE)="",0,IF(A16&gt;=2,VLOOKUP(D16,'Round 2'!$D:$Q,14,FALSE),0)),0))</f>
        <v/>
      </c>
      <c r="M16" s="97" t="str">
        <f>IF(D16="","",IF(COUNTIF('Round 2'!$D:$D,B16)=1,IF(VLOOKUP(D16,'Round 2'!$D:$Q,14,FALSE)="",0,IF(A16&gt;=2,VLOOKUP(D16,'Round 2'!$D:$K,8,FALSE),0)),0))</f>
        <v/>
      </c>
      <c r="N16" s="98" t="str">
        <f>IF(D16="","",IF(COUNTIF('Round 3'!$D:$D,B16)=1,IF(VLOOKUP(D16,'Round 3'!$D:$Q,14,FALSE)="",0,IF(A16&gt;=3,VLOOKUP(D16,'Round 3'!$D:$Q,14,FALSE),0)),0))</f>
        <v/>
      </c>
      <c r="O16" s="99" t="str">
        <f>IF(D16="","",IF(COUNTIF('Round 3'!$D:$D,B16)=1,IF(VLOOKUP(D16,'Round 3'!$D:$Q,14,FALSE)="",0,IF(A16&gt;=3,VLOOKUP(D16,'Round 3'!$D:$K,8,FALSE),0)),0))</f>
        <v/>
      </c>
      <c r="P16" s="100" t="str">
        <f>IF(D16="","",IF(COUNTIF('Round 4'!$D:$D,B16)=1,IF(VLOOKUP(D16,'Round 4'!$D:$Q,14,FALSE)="",0,IF(A16&gt;=4,VLOOKUP(D16,'Round 4'!$D:$Q,14,FALSE),0)),0))</f>
        <v/>
      </c>
      <c r="Q16" s="101" t="str">
        <f>IF(D16="","",IF(COUNTIF('Round 4'!$D:$D,B16)=1,IF(VLOOKUP(D16,'Round 4'!$D:$Q,14,FALSE)="",0,IF(A16&gt;=4,VLOOKUP(D16,'Round 4'!$D:$K,8,FALSE),0)),0))</f>
        <v/>
      </c>
      <c r="R16" s="102" t="str">
        <f>IF(D16="","",IF(COUNTIF('Round 5'!$D:$D,B16)=1,IF(VLOOKUP(D16,'Round 5'!$D:$Q,14,FALSE)="",0,IF(A16&gt;=5,VLOOKUP(D16,'Round 5'!$D:$Q,14,FALSE),0)),0))</f>
        <v/>
      </c>
      <c r="S16" s="103" t="str">
        <f>IF(D16="","",IF(COUNTIF('Round 5'!$D:$D,B16)=1,IF(VLOOKUP(D16,'Round 5'!$D:$Q,14,FALSE)="",0,IF(A16&gt;=5,VLOOKUP(D16,'Round 5'!$D:$K,8,FALSE),0)),0))</f>
        <v/>
      </c>
      <c r="T16" s="108" t="str">
        <f t="shared" si="0"/>
        <v/>
      </c>
      <c r="U16" s="137" t="str">
        <f t="shared" si="1"/>
        <v/>
      </c>
    </row>
    <row r="17" spans="1:21" x14ac:dyDescent="0.3">
      <c r="A17" s="82">
        <f>IF(D11="",0,'Tournament Details'!G4)</f>
        <v>0</v>
      </c>
      <c r="B17" s="90">
        <v>7</v>
      </c>
      <c r="C17" s="112" t="str">
        <f>IF('Tournament Details'!C13="","",B17)</f>
        <v/>
      </c>
      <c r="D17" s="105" t="str">
        <f>IF('Tournament Details'!C13="","",VLOOKUP(C17,'Tournament Details'!$B:$C,2,FALSE))</f>
        <v/>
      </c>
      <c r="E17" s="113" t="str">
        <f>IF(D17="","",VLOOKUP(D17,'Tournament Details'!$C:$H,6,FALSE))</f>
        <v/>
      </c>
      <c r="F17" s="113" t="str">
        <f>IF(D17="","",VLOOKUP(D17,'Tournament Details'!$C:$D,2,FALSE))</f>
        <v/>
      </c>
      <c r="G17" s="114" t="str">
        <f>IF(D17="","",VLOOKUP(D17,'Tournament Details'!$C:$E,3,FALSE))</f>
        <v/>
      </c>
      <c r="H17" s="268" t="str">
        <f>IF(D17="","",IF(VLOOKUP(D17,'Tournament Details'!$C:$G,5,FALSE)="","",VLOOKUP(D17,'Tournament Details'!$C:$G,5,FALSE)))</f>
        <v/>
      </c>
      <c r="I17" s="269"/>
      <c r="J17" s="155" t="str">
        <f>IF(D17="","",IF(COUNTIF('Round 1'!$D:$D,B17)=1,IF(VLOOKUP(D17,'Round 1'!$D:$Q,14,FALSE)="",0,IF(A17&gt;=1,VLOOKUP(D17,'Round 1'!$D:$Q,14,FALSE),0)),0))</f>
        <v/>
      </c>
      <c r="K17" s="95" t="str">
        <f>IF(D17="","",IF(COUNTIF('Round 1'!$D:$D,B17)=1,IF(VLOOKUP(D17,'Round 1'!$D:$Q,14,FALSE)="",0,IF(A17&gt;=1,VLOOKUP(D17,'Round 1'!$D:$K,8,FALSE),0)),0))</f>
        <v/>
      </c>
      <c r="L17" s="96" t="str">
        <f>IF(D17="","",IF(COUNTIF('Round 2'!$D:$D,B17)=1,IF(VLOOKUP(D17,'Round 2'!$D:$Q,14,FALSE)="",0,IF(A17&gt;=2,VLOOKUP(D17,'Round 2'!$D:$Q,14,FALSE),0)),0))</f>
        <v/>
      </c>
      <c r="M17" s="97" t="str">
        <f>IF(D17="","",IF(COUNTIF('Round 2'!$D:$D,B17)=1,IF(VLOOKUP(D17,'Round 2'!$D:$Q,14,FALSE)="",0,IF(A17&gt;=2,VLOOKUP(D17,'Round 2'!$D:$K,8,FALSE),0)),0))</f>
        <v/>
      </c>
      <c r="N17" s="98" t="str">
        <f>IF(D17="","",IF(COUNTIF('Round 3'!$D:$D,B17)=1,IF(VLOOKUP(D17,'Round 3'!$D:$Q,14,FALSE)="",0,IF(A17&gt;=3,VLOOKUP(D17,'Round 3'!$D:$Q,14,FALSE),0)),0))</f>
        <v/>
      </c>
      <c r="O17" s="99" t="str">
        <f>IF(D17="","",IF(COUNTIF('Round 3'!$D:$D,B17)=1,IF(VLOOKUP(D17,'Round 3'!$D:$Q,14,FALSE)="",0,IF(A17&gt;=3,VLOOKUP(D17,'Round 3'!$D:$K,8,FALSE),0)),0))</f>
        <v/>
      </c>
      <c r="P17" s="100" t="str">
        <f>IF(D17="","",IF(COUNTIF('Round 4'!$D:$D,B17)=1,IF(VLOOKUP(D17,'Round 4'!$D:$Q,14,FALSE)="",0,IF(A17&gt;=4,VLOOKUP(D17,'Round 4'!$D:$Q,14,FALSE),0)),0))</f>
        <v/>
      </c>
      <c r="Q17" s="101" t="str">
        <f>IF(D17="","",IF(COUNTIF('Round 4'!$D:$D,B17)=1,IF(VLOOKUP(D17,'Round 4'!$D:$Q,14,FALSE)="",0,IF(A17&gt;=4,VLOOKUP(D17,'Round 4'!$D:$K,8,FALSE),0)),0))</f>
        <v/>
      </c>
      <c r="R17" s="102" t="str">
        <f>IF(D17="","",IF(COUNTIF('Round 5'!$D:$D,B17)=1,IF(VLOOKUP(D17,'Round 5'!$D:$Q,14,FALSE)="",0,IF(A17&gt;=5,VLOOKUP(D17,'Round 5'!$D:$Q,14,FALSE),0)),0))</f>
        <v/>
      </c>
      <c r="S17" s="103" t="str">
        <f>IF(D17="","",IF(COUNTIF('Round 5'!$D:$D,B17)=1,IF(VLOOKUP(D17,'Round 5'!$D:$Q,14,FALSE)="",0,IF(A17&gt;=5,VLOOKUP(D17,'Round 5'!$D:$K,8,FALSE),0)),0))</f>
        <v/>
      </c>
      <c r="T17" s="108" t="str">
        <f t="shared" si="0"/>
        <v/>
      </c>
      <c r="U17" s="137" t="str">
        <f t="shared" si="1"/>
        <v/>
      </c>
    </row>
    <row r="18" spans="1:21" x14ac:dyDescent="0.3">
      <c r="A18" s="82">
        <f>IF(D11="",0,'Tournament Details'!G4)</f>
        <v>0</v>
      </c>
      <c r="B18" s="90">
        <v>8</v>
      </c>
      <c r="C18" s="112" t="str">
        <f>IF('Tournament Details'!C14="","",B18)</f>
        <v/>
      </c>
      <c r="D18" s="105" t="str">
        <f>IF('Tournament Details'!C14="","",VLOOKUP(C18,'Tournament Details'!$B:$C,2,FALSE))</f>
        <v/>
      </c>
      <c r="E18" s="113" t="str">
        <f>IF(D18="","",VLOOKUP(D18,'Tournament Details'!$C:$H,6,FALSE))</f>
        <v/>
      </c>
      <c r="F18" s="113" t="str">
        <f>IF(D18="","",VLOOKUP(D18,'Tournament Details'!$C:$D,2,FALSE))</f>
        <v/>
      </c>
      <c r="G18" s="114" t="str">
        <f>IF(D18="","",VLOOKUP(D18,'Tournament Details'!$C:$E,3,FALSE))</f>
        <v/>
      </c>
      <c r="H18" s="268" t="str">
        <f>IF(D18="","",IF(VLOOKUP(D18,'Tournament Details'!$C:$G,5,FALSE)="","",VLOOKUP(D18,'Tournament Details'!$C:$G,5,FALSE)))</f>
        <v/>
      </c>
      <c r="I18" s="269"/>
      <c r="J18" s="155" t="str">
        <f>IF(D18="","",IF(COUNTIF('Round 1'!$D:$D,B18)=1,IF(VLOOKUP(D18,'Round 1'!$D:$Q,14,FALSE)="",0,IF(A18&gt;=1,VLOOKUP(D18,'Round 1'!$D:$Q,14,FALSE),0)),0))</f>
        <v/>
      </c>
      <c r="K18" s="95" t="str">
        <f>IF(D18="","",IF(COUNTIF('Round 1'!$D:$D,B18)=1,IF(VLOOKUP(D18,'Round 1'!$D:$Q,14,FALSE)="",0,IF(A18&gt;=1,VLOOKUP(D18,'Round 1'!$D:$K,8,FALSE),0)),0))</f>
        <v/>
      </c>
      <c r="L18" s="96" t="str">
        <f>IF(D18="","",IF(COUNTIF('Round 2'!$D:$D,B18)=1,IF(VLOOKUP(D18,'Round 2'!$D:$Q,14,FALSE)="",0,IF(A18&gt;=2,VLOOKUP(D18,'Round 2'!$D:$Q,14,FALSE),0)),0))</f>
        <v/>
      </c>
      <c r="M18" s="97" t="str">
        <f>IF(D18="","",IF(COUNTIF('Round 2'!$D:$D,B18)=1,IF(VLOOKUP(D18,'Round 2'!$D:$Q,14,FALSE)="",0,IF(A18&gt;=2,VLOOKUP(D18,'Round 2'!$D:$K,8,FALSE),0)),0))</f>
        <v/>
      </c>
      <c r="N18" s="98" t="str">
        <f>IF(D18="","",IF(COUNTIF('Round 3'!$D:$D,B18)=1,IF(VLOOKUP(D18,'Round 3'!$D:$Q,14,FALSE)="",0,IF(A18&gt;=3,VLOOKUP(D18,'Round 3'!$D:$Q,14,FALSE),0)),0))</f>
        <v/>
      </c>
      <c r="O18" s="99" t="str">
        <f>IF(D18="","",IF(COUNTIF('Round 3'!$D:$D,B18)=1,IF(VLOOKUP(D18,'Round 3'!$D:$Q,14,FALSE)="",0,IF(A18&gt;=3,VLOOKUP(D18,'Round 3'!$D:$K,8,FALSE),0)),0))</f>
        <v/>
      </c>
      <c r="P18" s="100" t="str">
        <f>IF(D18="","",IF(COUNTIF('Round 4'!$D:$D,B18)=1,IF(VLOOKUP(D18,'Round 4'!$D:$Q,14,FALSE)="",0,IF(A18&gt;=4,VLOOKUP(D18,'Round 4'!$D:$Q,14,FALSE),0)),0))</f>
        <v/>
      </c>
      <c r="Q18" s="101" t="str">
        <f>IF(D18="","",IF(COUNTIF('Round 4'!$D:$D,B18)=1,IF(VLOOKUP(D18,'Round 4'!$D:$Q,14,FALSE)="",0,IF(A18&gt;=4,VLOOKUP(D18,'Round 4'!$D:$K,8,FALSE),0)),0))</f>
        <v/>
      </c>
      <c r="R18" s="102" t="str">
        <f>IF(D18="","",IF(COUNTIF('Round 5'!$D:$D,B18)=1,IF(VLOOKUP(D18,'Round 5'!$D:$Q,14,FALSE)="",0,IF(A18&gt;=5,VLOOKUP(D18,'Round 5'!$D:$Q,14,FALSE),0)),0))</f>
        <v/>
      </c>
      <c r="S18" s="103" t="str">
        <f>IF(D18="","",IF(COUNTIF('Round 5'!$D:$D,B18)=1,IF(VLOOKUP(D18,'Round 5'!$D:$Q,14,FALSE)="",0,IF(A18&gt;=5,VLOOKUP(D18,'Round 5'!$D:$K,8,FALSE),0)),0))</f>
        <v/>
      </c>
      <c r="T18" s="108" t="str">
        <f t="shared" si="0"/>
        <v/>
      </c>
      <c r="U18" s="137" t="str">
        <f t="shared" si="1"/>
        <v/>
      </c>
    </row>
    <row r="19" spans="1:21" x14ac:dyDescent="0.3">
      <c r="A19" s="82">
        <f>IF(D11="",0,'Tournament Details'!G4)</f>
        <v>0</v>
      </c>
      <c r="B19" s="90">
        <v>9</v>
      </c>
      <c r="C19" s="112" t="str">
        <f>IF('Tournament Details'!C15="","",B19)</f>
        <v/>
      </c>
      <c r="D19" s="105" t="str">
        <f>IF('Tournament Details'!C15="","",VLOOKUP(C19,'Tournament Details'!$B:$C,2,FALSE))</f>
        <v/>
      </c>
      <c r="E19" s="113" t="str">
        <f>IF(D19="","",VLOOKUP(D19,'Tournament Details'!$C:$H,6,FALSE))</f>
        <v/>
      </c>
      <c r="F19" s="113" t="str">
        <f>IF(D19="","",VLOOKUP(D19,'Tournament Details'!$C:$D,2,FALSE))</f>
        <v/>
      </c>
      <c r="G19" s="114" t="str">
        <f>IF(D19="","",VLOOKUP(D19,'Tournament Details'!$C:$E,3,FALSE))</f>
        <v/>
      </c>
      <c r="H19" s="268" t="str">
        <f>IF(D19="","",IF(VLOOKUP(D19,'Tournament Details'!$C:$G,5,FALSE)="","",VLOOKUP(D19,'Tournament Details'!$C:$G,5,FALSE)))</f>
        <v/>
      </c>
      <c r="I19" s="269"/>
      <c r="J19" s="155" t="str">
        <f>IF(D19="","",IF(COUNTIF('Round 1'!$D:$D,B19)=1,IF(VLOOKUP(D19,'Round 1'!$D:$Q,14,FALSE)="",0,IF(A19&gt;=1,VLOOKUP(D19,'Round 1'!$D:$Q,14,FALSE),0)),0))</f>
        <v/>
      </c>
      <c r="K19" s="95" t="str">
        <f>IF(D19="","",IF(COUNTIF('Round 1'!$D:$D,B19)=1,IF(VLOOKUP(D19,'Round 1'!$D:$Q,14,FALSE)="",0,IF(A19&gt;=1,VLOOKUP(D19,'Round 1'!$D:$K,8,FALSE),0)),0))</f>
        <v/>
      </c>
      <c r="L19" s="96" t="str">
        <f>IF(D19="","",IF(COUNTIF('Round 2'!$D:$D,B19)=1,IF(VLOOKUP(D19,'Round 2'!$D:$Q,14,FALSE)="",0,IF(A19&gt;=2,VLOOKUP(D19,'Round 2'!$D:$Q,14,FALSE),0)),0))</f>
        <v/>
      </c>
      <c r="M19" s="97" t="str">
        <f>IF(D19="","",IF(COUNTIF('Round 2'!$D:$D,B19)=1,IF(VLOOKUP(D19,'Round 2'!$D:$Q,14,FALSE)="",0,IF(A19&gt;=2,VLOOKUP(D19,'Round 2'!$D:$K,8,FALSE),0)),0))</f>
        <v/>
      </c>
      <c r="N19" s="98" t="str">
        <f>IF(D19="","",IF(COUNTIF('Round 3'!$D:$D,B19)=1,IF(VLOOKUP(D19,'Round 3'!$D:$Q,14,FALSE)="",0,IF(A19&gt;=3,VLOOKUP(D19,'Round 3'!$D:$Q,14,FALSE),0)),0))</f>
        <v/>
      </c>
      <c r="O19" s="99" t="str">
        <f>IF(D19="","",IF(COUNTIF('Round 3'!$D:$D,B19)=1,IF(VLOOKUP(D19,'Round 3'!$D:$Q,14,FALSE)="",0,IF(A19&gt;=3,VLOOKUP(D19,'Round 3'!$D:$K,8,FALSE),0)),0))</f>
        <v/>
      </c>
      <c r="P19" s="100" t="str">
        <f>IF(D19="","",IF(COUNTIF('Round 4'!$D:$D,B19)=1,IF(VLOOKUP(D19,'Round 4'!$D:$Q,14,FALSE)="",0,IF(A19&gt;=4,VLOOKUP(D19,'Round 4'!$D:$Q,14,FALSE),0)),0))</f>
        <v/>
      </c>
      <c r="Q19" s="101" t="str">
        <f>IF(D19="","",IF(COUNTIF('Round 4'!$D:$D,B19)=1,IF(VLOOKUP(D19,'Round 4'!$D:$Q,14,FALSE)="",0,IF(A19&gt;=4,VLOOKUP(D19,'Round 4'!$D:$K,8,FALSE),0)),0))</f>
        <v/>
      </c>
      <c r="R19" s="102" t="str">
        <f>IF(D19="","",IF(COUNTIF('Round 5'!$D:$D,B19)=1,IF(VLOOKUP(D19,'Round 5'!$D:$Q,14,FALSE)="",0,IF(A19&gt;=5,VLOOKUP(D19,'Round 5'!$D:$Q,14,FALSE),0)),0))</f>
        <v/>
      </c>
      <c r="S19" s="103" t="str">
        <f>IF(D19="","",IF(COUNTIF('Round 5'!$D:$D,B19)=1,IF(VLOOKUP(D19,'Round 5'!$D:$Q,14,FALSE)="",0,IF(A19&gt;=5,VLOOKUP(D19,'Round 5'!$D:$K,8,FALSE),0)),0))</f>
        <v/>
      </c>
      <c r="T19" s="108" t="str">
        <f t="shared" si="0"/>
        <v/>
      </c>
      <c r="U19" s="137" t="str">
        <f t="shared" si="1"/>
        <v/>
      </c>
    </row>
    <row r="20" spans="1:21" x14ac:dyDescent="0.3">
      <c r="A20" s="82">
        <f>IF(D11="",0,'Tournament Details'!G4)</f>
        <v>0</v>
      </c>
      <c r="B20" s="90">
        <v>10</v>
      </c>
      <c r="C20" s="112" t="str">
        <f>IF('Tournament Details'!C16="","",B20)</f>
        <v/>
      </c>
      <c r="D20" s="105" t="str">
        <f>IF('Tournament Details'!C16="","",VLOOKUP(C20,'Tournament Details'!$B:$C,2,FALSE))</f>
        <v/>
      </c>
      <c r="E20" s="113" t="str">
        <f>IF(D20="","",VLOOKUP(D20,'Tournament Details'!$C:$H,6,FALSE))</f>
        <v/>
      </c>
      <c r="F20" s="113" t="str">
        <f>IF(D20="","",VLOOKUP(D20,'Tournament Details'!$C:$D,2,FALSE))</f>
        <v/>
      </c>
      <c r="G20" s="114" t="str">
        <f>IF(D20="","",VLOOKUP(D20,'Tournament Details'!$C:$E,3,FALSE))</f>
        <v/>
      </c>
      <c r="H20" s="268" t="str">
        <f>IF(D20="","",IF(VLOOKUP(D20,'Tournament Details'!$C:$G,5,FALSE)="","",VLOOKUP(D20,'Tournament Details'!$C:$G,5,FALSE)))</f>
        <v/>
      </c>
      <c r="I20" s="269"/>
      <c r="J20" s="155" t="str">
        <f>IF(D20="","",IF(COUNTIF('Round 1'!$D:$D,B20)=1,IF(VLOOKUP(D20,'Round 1'!$D:$Q,14,FALSE)="",0,IF(A20&gt;=1,VLOOKUP(D20,'Round 1'!$D:$Q,14,FALSE),0)),0))</f>
        <v/>
      </c>
      <c r="K20" s="95" t="str">
        <f>IF(D20="","",IF(COUNTIF('Round 1'!$D:$D,B20)=1,IF(VLOOKUP(D20,'Round 1'!$D:$Q,14,FALSE)="",0,IF(A20&gt;=1,VLOOKUP(D20,'Round 1'!$D:$K,8,FALSE),0)),0))</f>
        <v/>
      </c>
      <c r="L20" s="96" t="str">
        <f>IF(D20="","",IF(COUNTIF('Round 2'!$D:$D,B20)=1,IF(VLOOKUP(D20,'Round 2'!$D:$Q,14,FALSE)="",0,IF(A20&gt;=2,VLOOKUP(D20,'Round 2'!$D:$Q,14,FALSE),0)),0))</f>
        <v/>
      </c>
      <c r="M20" s="97" t="str">
        <f>IF(D20="","",IF(COUNTIF('Round 2'!$D:$D,B20)=1,IF(VLOOKUP(D20,'Round 2'!$D:$Q,14,FALSE)="",0,IF(A20&gt;=2,VLOOKUP(D20,'Round 2'!$D:$K,8,FALSE),0)),0))</f>
        <v/>
      </c>
      <c r="N20" s="98" t="str">
        <f>IF(D20="","",IF(COUNTIF('Round 3'!$D:$D,B20)=1,IF(VLOOKUP(D20,'Round 3'!$D:$Q,14,FALSE)="",0,IF(A20&gt;=3,VLOOKUP(D20,'Round 3'!$D:$Q,14,FALSE),0)),0))</f>
        <v/>
      </c>
      <c r="O20" s="99" t="str">
        <f>IF(D20="","",IF(COUNTIF('Round 3'!$D:$D,B20)=1,IF(VLOOKUP(D20,'Round 3'!$D:$Q,14,FALSE)="",0,IF(A20&gt;=3,VLOOKUP(D20,'Round 3'!$D:$K,8,FALSE),0)),0))</f>
        <v/>
      </c>
      <c r="P20" s="100" t="str">
        <f>IF(D20="","",IF(COUNTIF('Round 4'!$D:$D,B20)=1,IF(VLOOKUP(D20,'Round 4'!$D:$Q,14,FALSE)="",0,IF(A20&gt;=4,VLOOKUP(D20,'Round 4'!$D:$Q,14,FALSE),0)),0))</f>
        <v/>
      </c>
      <c r="Q20" s="101" t="str">
        <f>IF(D20="","",IF(COUNTIF('Round 4'!$D:$D,B20)=1,IF(VLOOKUP(D20,'Round 4'!$D:$Q,14,FALSE)="",0,IF(A20&gt;=4,VLOOKUP(D20,'Round 4'!$D:$K,8,FALSE),0)),0))</f>
        <v/>
      </c>
      <c r="R20" s="102" t="str">
        <f>IF(D20="","",IF(COUNTIF('Round 5'!$D:$D,B20)=1,IF(VLOOKUP(D20,'Round 5'!$D:$Q,14,FALSE)="",0,IF(A20&gt;=5,VLOOKUP(D20,'Round 5'!$D:$Q,14,FALSE),0)),0))</f>
        <v/>
      </c>
      <c r="S20" s="103" t="str">
        <f>IF(D20="","",IF(COUNTIF('Round 5'!$D:$D,B20)=1,IF(VLOOKUP(D20,'Round 5'!$D:$Q,14,FALSE)="",0,IF(A20&gt;=5,VLOOKUP(D20,'Round 5'!$D:$K,8,FALSE),0)),0))</f>
        <v/>
      </c>
      <c r="T20" s="108" t="str">
        <f t="shared" si="0"/>
        <v/>
      </c>
      <c r="U20" s="137" t="str">
        <f t="shared" si="1"/>
        <v/>
      </c>
    </row>
    <row r="21" spans="1:21" x14ac:dyDescent="0.3">
      <c r="A21" s="82">
        <f>IF(D11="",0,'Tournament Details'!G4)</f>
        <v>0</v>
      </c>
      <c r="B21" s="90">
        <v>11</v>
      </c>
      <c r="C21" s="112" t="str">
        <f>IF('Tournament Details'!C17="","",B21)</f>
        <v/>
      </c>
      <c r="D21" s="105" t="str">
        <f>IF('Tournament Details'!C17="","",VLOOKUP(C21,'Tournament Details'!$B:$C,2,FALSE))</f>
        <v/>
      </c>
      <c r="E21" s="113" t="str">
        <f>IF(D21="","",VLOOKUP(D21,'Tournament Details'!$C:$H,6,FALSE))</f>
        <v/>
      </c>
      <c r="F21" s="113" t="str">
        <f>IF(D21="","",VLOOKUP(D21,'Tournament Details'!$C:$D,2,FALSE))</f>
        <v/>
      </c>
      <c r="G21" s="114" t="str">
        <f>IF(D21="","",VLOOKUP(D21,'Tournament Details'!$C:$E,3,FALSE))</f>
        <v/>
      </c>
      <c r="H21" s="268" t="str">
        <f>IF(D21="","",IF(VLOOKUP(D21,'Tournament Details'!$C:$G,5,FALSE)="","",VLOOKUP(D21,'Tournament Details'!$C:$G,5,FALSE)))</f>
        <v/>
      </c>
      <c r="I21" s="269"/>
      <c r="J21" s="155" t="str">
        <f>IF(D21="","",IF(COUNTIF('Round 1'!$D:$D,B21)=1,IF(VLOOKUP(D21,'Round 1'!$D:$Q,14,FALSE)="",0,IF(A21&gt;=1,VLOOKUP(D21,'Round 1'!$D:$Q,14,FALSE),0)),0))</f>
        <v/>
      </c>
      <c r="K21" s="95" t="str">
        <f>IF(D21="","",IF(COUNTIF('Round 1'!$D:$D,B21)=1,IF(VLOOKUP(D21,'Round 1'!$D:$Q,14,FALSE)="",0,IF(A21&gt;=1,VLOOKUP(D21,'Round 1'!$D:$K,8,FALSE),0)),0))</f>
        <v/>
      </c>
      <c r="L21" s="96" t="str">
        <f>IF(D21="","",IF(COUNTIF('Round 2'!$D:$D,B21)=1,IF(VLOOKUP(D21,'Round 2'!$D:$Q,14,FALSE)="",0,IF(A21&gt;=2,VLOOKUP(D21,'Round 2'!$D:$Q,14,FALSE),0)),0))</f>
        <v/>
      </c>
      <c r="M21" s="97" t="str">
        <f>IF(D21="","",IF(COUNTIF('Round 2'!$D:$D,B21)=1,IF(VLOOKUP(D21,'Round 2'!$D:$Q,14,FALSE)="",0,IF(A21&gt;=2,VLOOKUP(D21,'Round 2'!$D:$K,8,FALSE),0)),0))</f>
        <v/>
      </c>
      <c r="N21" s="98" t="str">
        <f>IF(D21="","",IF(COUNTIF('Round 3'!$D:$D,B21)=1,IF(VLOOKUP(D21,'Round 3'!$D:$Q,14,FALSE)="",0,IF(A21&gt;=3,VLOOKUP(D21,'Round 3'!$D:$Q,14,FALSE),0)),0))</f>
        <v/>
      </c>
      <c r="O21" s="99" t="str">
        <f>IF(D21="","",IF(COUNTIF('Round 3'!$D:$D,B21)=1,IF(VLOOKUP(D21,'Round 3'!$D:$Q,14,FALSE)="",0,IF(A21&gt;=3,VLOOKUP(D21,'Round 3'!$D:$K,8,FALSE),0)),0))</f>
        <v/>
      </c>
      <c r="P21" s="100" t="str">
        <f>IF(D21="","",IF(COUNTIF('Round 4'!$D:$D,B21)=1,IF(VLOOKUP(D21,'Round 4'!$D:$Q,14,FALSE)="",0,IF(A21&gt;=4,VLOOKUP(D21,'Round 4'!$D:$Q,14,FALSE),0)),0))</f>
        <v/>
      </c>
      <c r="Q21" s="101" t="str">
        <f>IF(D21="","",IF(COUNTIF('Round 4'!$D:$D,B21)=1,IF(VLOOKUP(D21,'Round 4'!$D:$Q,14,FALSE)="",0,IF(A21&gt;=4,VLOOKUP(D21,'Round 4'!$D:$K,8,FALSE),0)),0))</f>
        <v/>
      </c>
      <c r="R21" s="102" t="str">
        <f>IF(D21="","",IF(COUNTIF('Round 5'!$D:$D,B21)=1,IF(VLOOKUP(D21,'Round 5'!$D:$Q,14,FALSE)="",0,IF(A21&gt;=5,VLOOKUP(D21,'Round 5'!$D:$Q,14,FALSE),0)),0))</f>
        <v/>
      </c>
      <c r="S21" s="103" t="str">
        <f>IF(D21="","",IF(COUNTIF('Round 5'!$D:$D,B21)=1,IF(VLOOKUP(D21,'Round 5'!$D:$Q,14,FALSE)="",0,IF(A21&gt;=5,VLOOKUP(D21,'Round 5'!$D:$K,8,FALSE),0)),0))</f>
        <v/>
      </c>
      <c r="T21" s="108" t="str">
        <f t="shared" si="0"/>
        <v/>
      </c>
      <c r="U21" s="137" t="str">
        <f t="shared" si="1"/>
        <v/>
      </c>
    </row>
    <row r="22" spans="1:21" x14ac:dyDescent="0.3">
      <c r="A22" s="82">
        <f>IF(D11="",0,'Tournament Details'!G4)</f>
        <v>0</v>
      </c>
      <c r="B22" s="90">
        <v>12</v>
      </c>
      <c r="C22" s="112" t="str">
        <f>IF('Tournament Details'!C18="","",B22)</f>
        <v/>
      </c>
      <c r="D22" s="105" t="str">
        <f>IF('Tournament Details'!C18="","",VLOOKUP(C22,'Tournament Details'!$B:$C,2,FALSE))</f>
        <v/>
      </c>
      <c r="E22" s="113" t="str">
        <f>IF(D22="","",VLOOKUP(D22,'Tournament Details'!$C:$H,6,FALSE))</f>
        <v/>
      </c>
      <c r="F22" s="113" t="str">
        <f>IF(D22="","",VLOOKUP(D22,'Tournament Details'!$C:$D,2,FALSE))</f>
        <v/>
      </c>
      <c r="G22" s="114" t="str">
        <f>IF(D22="","",VLOOKUP(D22,'Tournament Details'!$C:$E,3,FALSE))</f>
        <v/>
      </c>
      <c r="H22" s="268" t="str">
        <f>IF(D22="","",IF(VLOOKUP(D22,'Tournament Details'!$C:$G,5,FALSE)="","",VLOOKUP(D22,'Tournament Details'!$C:$G,5,FALSE)))</f>
        <v/>
      </c>
      <c r="I22" s="269"/>
      <c r="J22" s="155" t="str">
        <f>IF(D22="","",IF(COUNTIF('Round 1'!$D:$D,B22)=1,IF(VLOOKUP(D22,'Round 1'!$D:$Q,14,FALSE)="",0,IF(A22&gt;=1,VLOOKUP(D22,'Round 1'!$D:$Q,14,FALSE),0)),0))</f>
        <v/>
      </c>
      <c r="K22" s="95" t="str">
        <f>IF(D22="","",IF(COUNTIF('Round 1'!$D:$D,B22)=1,IF(VLOOKUP(D22,'Round 1'!$D:$Q,14,FALSE)="",0,IF(A22&gt;=1,VLOOKUP(D22,'Round 1'!$D:$K,8,FALSE),0)),0))</f>
        <v/>
      </c>
      <c r="L22" s="96" t="str">
        <f>IF(D22="","",IF(COUNTIF('Round 2'!$D:$D,B22)=1,IF(VLOOKUP(D22,'Round 2'!$D:$Q,14,FALSE)="",0,IF(A22&gt;=2,VLOOKUP(D22,'Round 2'!$D:$Q,14,FALSE),0)),0))</f>
        <v/>
      </c>
      <c r="M22" s="97" t="str">
        <f>IF(D22="","",IF(COUNTIF('Round 2'!$D:$D,B22)=1,IF(VLOOKUP(D22,'Round 2'!$D:$Q,14,FALSE)="",0,IF(A22&gt;=2,VLOOKUP(D22,'Round 2'!$D:$K,8,FALSE),0)),0))</f>
        <v/>
      </c>
      <c r="N22" s="98" t="str">
        <f>IF(D22="","",IF(COUNTIF('Round 3'!$D:$D,B22)=1,IF(VLOOKUP(D22,'Round 3'!$D:$Q,14,FALSE)="",0,IF(A22&gt;=3,VLOOKUP(D22,'Round 3'!$D:$Q,14,FALSE),0)),0))</f>
        <v/>
      </c>
      <c r="O22" s="99" t="str">
        <f>IF(D22="","",IF(COUNTIF('Round 3'!$D:$D,B22)=1,IF(VLOOKUP(D22,'Round 3'!$D:$Q,14,FALSE)="",0,IF(A22&gt;=3,VLOOKUP(D22,'Round 3'!$D:$K,8,FALSE),0)),0))</f>
        <v/>
      </c>
      <c r="P22" s="100" t="str">
        <f>IF(D22="","",IF(COUNTIF('Round 4'!$D:$D,B22)=1,IF(VLOOKUP(D22,'Round 4'!$D:$Q,14,FALSE)="",0,IF(A22&gt;=4,VLOOKUP(D22,'Round 4'!$D:$Q,14,FALSE),0)),0))</f>
        <v/>
      </c>
      <c r="Q22" s="101" t="str">
        <f>IF(D22="","",IF(COUNTIF('Round 4'!$D:$D,B22)=1,IF(VLOOKUP(D22,'Round 4'!$D:$Q,14,FALSE)="",0,IF(A22&gt;=4,VLOOKUP(D22,'Round 4'!$D:$K,8,FALSE),0)),0))</f>
        <v/>
      </c>
      <c r="R22" s="102" t="str">
        <f>IF(D22="","",IF(COUNTIF('Round 5'!$D:$D,B22)=1,IF(VLOOKUP(D22,'Round 5'!$D:$Q,14,FALSE)="",0,IF(A22&gt;=5,VLOOKUP(D22,'Round 5'!$D:$Q,14,FALSE),0)),0))</f>
        <v/>
      </c>
      <c r="S22" s="103" t="str">
        <f>IF(D22="","",IF(COUNTIF('Round 5'!$D:$D,B22)=1,IF(VLOOKUP(D22,'Round 5'!$D:$Q,14,FALSE)="",0,IF(A22&gt;=5,VLOOKUP(D22,'Round 5'!$D:$K,8,FALSE),0)),0))</f>
        <v/>
      </c>
      <c r="T22" s="108" t="str">
        <f t="shared" si="0"/>
        <v/>
      </c>
      <c r="U22" s="137" t="str">
        <f t="shared" si="1"/>
        <v/>
      </c>
    </row>
    <row r="23" spans="1:21" x14ac:dyDescent="0.3">
      <c r="A23" s="82">
        <f>IF(D11="",0,'Tournament Details'!G4)</f>
        <v>0</v>
      </c>
      <c r="B23" s="90">
        <v>13</v>
      </c>
      <c r="C23" s="112" t="str">
        <f>IF('Tournament Details'!C19="","",B23)</f>
        <v/>
      </c>
      <c r="D23" s="105" t="str">
        <f>IF('Tournament Details'!C19="","",VLOOKUP(C23,'Tournament Details'!$B:$C,2,FALSE))</f>
        <v/>
      </c>
      <c r="E23" s="113" t="str">
        <f>IF(D23="","",VLOOKUP(D23,'Tournament Details'!$C:$H,6,FALSE))</f>
        <v/>
      </c>
      <c r="F23" s="113" t="str">
        <f>IF(D23="","",VLOOKUP(D23,'Tournament Details'!$C:$D,2,FALSE))</f>
        <v/>
      </c>
      <c r="G23" s="114" t="str">
        <f>IF(D23="","",VLOOKUP(D23,'Tournament Details'!$C:$E,3,FALSE))</f>
        <v/>
      </c>
      <c r="H23" s="268" t="str">
        <f>IF(D23="","",IF(VLOOKUP(D23,'Tournament Details'!$C:$G,5,FALSE)="","",VLOOKUP(D23,'Tournament Details'!$C:$G,5,FALSE)))</f>
        <v/>
      </c>
      <c r="I23" s="269"/>
      <c r="J23" s="155" t="str">
        <f>IF(D23="","",IF(COUNTIF('Round 1'!$D:$D,B23)=1,IF(VLOOKUP(D23,'Round 1'!$D:$Q,14,FALSE)="",0,IF(A23&gt;=1,VLOOKUP(D23,'Round 1'!$D:$Q,14,FALSE),0)),0))</f>
        <v/>
      </c>
      <c r="K23" s="95" t="str">
        <f>IF(D23="","",IF(COUNTIF('Round 1'!$D:$D,B23)=1,IF(VLOOKUP(D23,'Round 1'!$D:$Q,14,FALSE)="",0,IF(A23&gt;=1,VLOOKUP(D23,'Round 1'!$D:$K,8,FALSE),0)),0))</f>
        <v/>
      </c>
      <c r="L23" s="96" t="str">
        <f>IF(D23="","",IF(COUNTIF('Round 2'!$D:$D,B23)=1,IF(VLOOKUP(D23,'Round 2'!$D:$Q,14,FALSE)="",0,IF(A23&gt;=2,VLOOKUP(D23,'Round 2'!$D:$Q,14,FALSE),0)),0))</f>
        <v/>
      </c>
      <c r="M23" s="97" t="str">
        <f>IF(D23="","",IF(COUNTIF('Round 2'!$D:$D,B23)=1,IF(VLOOKUP(D23,'Round 2'!$D:$Q,14,FALSE)="",0,IF(A23&gt;=2,VLOOKUP(D23,'Round 2'!$D:$K,8,FALSE),0)),0))</f>
        <v/>
      </c>
      <c r="N23" s="98" t="str">
        <f>IF(D23="","",IF(COUNTIF('Round 3'!$D:$D,B23)=1,IF(VLOOKUP(D23,'Round 3'!$D:$Q,14,FALSE)="",0,IF(A23&gt;=3,VLOOKUP(D23,'Round 3'!$D:$Q,14,FALSE),0)),0))</f>
        <v/>
      </c>
      <c r="O23" s="99" t="str">
        <f>IF(D23="","",IF(COUNTIF('Round 3'!$D:$D,B23)=1,IF(VLOOKUP(D23,'Round 3'!$D:$Q,14,FALSE)="",0,IF(A23&gt;=3,VLOOKUP(D23,'Round 3'!$D:$K,8,FALSE),0)),0))</f>
        <v/>
      </c>
      <c r="P23" s="100" t="str">
        <f>IF(D23="","",IF(COUNTIF('Round 4'!$D:$D,B23)=1,IF(VLOOKUP(D23,'Round 4'!$D:$Q,14,FALSE)="",0,IF(A23&gt;=4,VLOOKUP(D23,'Round 4'!$D:$Q,14,FALSE),0)),0))</f>
        <v/>
      </c>
      <c r="Q23" s="101" t="str">
        <f>IF(D23="","",IF(COUNTIF('Round 4'!$D:$D,B23)=1,IF(VLOOKUP(D23,'Round 4'!$D:$Q,14,FALSE)="",0,IF(A23&gt;=4,VLOOKUP(D23,'Round 4'!$D:$K,8,FALSE),0)),0))</f>
        <v/>
      </c>
      <c r="R23" s="102" t="str">
        <f>IF(D23="","",IF(COUNTIF('Round 5'!$D:$D,B23)=1,IF(VLOOKUP(D23,'Round 5'!$D:$Q,14,FALSE)="",0,IF(A23&gt;=5,VLOOKUP(D23,'Round 5'!$D:$Q,14,FALSE),0)),0))</f>
        <v/>
      </c>
      <c r="S23" s="103" t="str">
        <f>IF(D23="","",IF(COUNTIF('Round 5'!$D:$D,B23)=1,IF(VLOOKUP(D23,'Round 5'!$D:$Q,14,FALSE)="",0,IF(A23&gt;=5,VLOOKUP(D23,'Round 5'!$D:$K,8,FALSE),0)),0))</f>
        <v/>
      </c>
      <c r="T23" s="108" t="str">
        <f t="shared" si="0"/>
        <v/>
      </c>
      <c r="U23" s="137" t="str">
        <f t="shared" si="1"/>
        <v/>
      </c>
    </row>
    <row r="24" spans="1:21" x14ac:dyDescent="0.3">
      <c r="A24" s="82">
        <f>IF(D11="",0,'Tournament Details'!G4)</f>
        <v>0</v>
      </c>
      <c r="B24" s="90">
        <v>14</v>
      </c>
      <c r="C24" s="112" t="str">
        <f>IF('Tournament Details'!C20="","",B24)</f>
        <v/>
      </c>
      <c r="D24" s="105" t="str">
        <f>IF('Tournament Details'!C20="","",VLOOKUP(C24,'Tournament Details'!$B:$C,2,FALSE))</f>
        <v/>
      </c>
      <c r="E24" s="113" t="str">
        <f>IF(D24="","",VLOOKUP(D24,'Tournament Details'!$C:$H,6,FALSE))</f>
        <v/>
      </c>
      <c r="F24" s="113" t="str">
        <f>IF(D24="","",VLOOKUP(D24,'Tournament Details'!$C:$D,2,FALSE))</f>
        <v/>
      </c>
      <c r="G24" s="114" t="str">
        <f>IF(D24="","",VLOOKUP(D24,'Tournament Details'!$C:$E,3,FALSE))</f>
        <v/>
      </c>
      <c r="H24" s="268" t="str">
        <f>IF(D24="","",IF(VLOOKUP(D24,'Tournament Details'!$C:$G,5,FALSE)="","",VLOOKUP(D24,'Tournament Details'!$C:$G,5,FALSE)))</f>
        <v/>
      </c>
      <c r="I24" s="269"/>
      <c r="J24" s="155" t="str">
        <f>IF(D24="","",IF(COUNTIF('Round 1'!$D:$D,B24)=1,IF(VLOOKUP(D24,'Round 1'!$D:$Q,14,FALSE)="",0,IF(A24&gt;=1,VLOOKUP(D24,'Round 1'!$D:$Q,14,FALSE),0)),0))</f>
        <v/>
      </c>
      <c r="K24" s="95" t="str">
        <f>IF(D24="","",IF(COUNTIF('Round 1'!$D:$D,B24)=1,IF(VLOOKUP(D24,'Round 1'!$D:$Q,14,FALSE)="",0,IF(A24&gt;=1,VLOOKUP(D24,'Round 1'!$D:$K,8,FALSE),0)),0))</f>
        <v/>
      </c>
      <c r="L24" s="96" t="str">
        <f>IF(D24="","",IF(COUNTIF('Round 2'!$D:$D,B24)=1,IF(VLOOKUP(D24,'Round 2'!$D:$Q,14,FALSE)="",0,IF(A24&gt;=2,VLOOKUP(D24,'Round 2'!$D:$Q,14,FALSE),0)),0))</f>
        <v/>
      </c>
      <c r="M24" s="97" t="str">
        <f>IF(D24="","",IF(COUNTIF('Round 2'!$D:$D,B24)=1,IF(VLOOKUP(D24,'Round 2'!$D:$Q,14,FALSE)="",0,IF(A24&gt;=2,VLOOKUP(D24,'Round 2'!$D:$K,8,FALSE),0)),0))</f>
        <v/>
      </c>
      <c r="N24" s="98" t="str">
        <f>IF(D24="","",IF(COUNTIF('Round 3'!$D:$D,B24)=1,IF(VLOOKUP(D24,'Round 3'!$D:$Q,14,FALSE)="",0,IF(A24&gt;=3,VLOOKUP(D24,'Round 3'!$D:$Q,14,FALSE),0)),0))</f>
        <v/>
      </c>
      <c r="O24" s="99" t="str">
        <f>IF(D24="","",IF(COUNTIF('Round 3'!$D:$D,B24)=1,IF(VLOOKUP(D24,'Round 3'!$D:$Q,14,FALSE)="",0,IF(A24&gt;=3,VLOOKUP(D24,'Round 3'!$D:$K,8,FALSE),0)),0))</f>
        <v/>
      </c>
      <c r="P24" s="100" t="str">
        <f>IF(D24="","",IF(COUNTIF('Round 4'!$D:$D,B24)=1,IF(VLOOKUP(D24,'Round 4'!$D:$Q,14,FALSE)="",0,IF(A24&gt;=4,VLOOKUP(D24,'Round 4'!$D:$Q,14,FALSE),0)),0))</f>
        <v/>
      </c>
      <c r="Q24" s="101" t="str">
        <f>IF(D24="","",IF(COUNTIF('Round 4'!$D:$D,B24)=1,IF(VLOOKUP(D24,'Round 4'!$D:$Q,14,FALSE)="",0,IF(A24&gt;=4,VLOOKUP(D24,'Round 4'!$D:$K,8,FALSE),0)),0))</f>
        <v/>
      </c>
      <c r="R24" s="102" t="str">
        <f>IF(D24="","",IF(COUNTIF('Round 5'!$D:$D,B24)=1,IF(VLOOKUP(D24,'Round 5'!$D:$Q,14,FALSE)="",0,IF(A24&gt;=5,VLOOKUP(D24,'Round 5'!$D:$Q,14,FALSE),0)),0))</f>
        <v/>
      </c>
      <c r="S24" s="103" t="str">
        <f>IF(D24="","",IF(COUNTIF('Round 5'!$D:$D,B24)=1,IF(VLOOKUP(D24,'Round 5'!$D:$Q,14,FALSE)="",0,IF(A24&gt;=5,VLOOKUP(D24,'Round 5'!$D:$K,8,FALSE),0)),0))</f>
        <v/>
      </c>
      <c r="T24" s="108" t="str">
        <f t="shared" si="0"/>
        <v/>
      </c>
      <c r="U24" s="137" t="str">
        <f t="shared" si="1"/>
        <v/>
      </c>
    </row>
    <row r="25" spans="1:21" x14ac:dyDescent="0.3">
      <c r="A25" s="82">
        <f>IF(D11="",0,'Tournament Details'!G4)</f>
        <v>0</v>
      </c>
      <c r="B25" s="90">
        <v>15</v>
      </c>
      <c r="C25" s="112" t="str">
        <f>IF('Tournament Details'!C21="","",B25)</f>
        <v/>
      </c>
      <c r="D25" s="105" t="str">
        <f>IF('Tournament Details'!C21="","",VLOOKUP(C25,'Tournament Details'!$B:$C,2,FALSE))</f>
        <v/>
      </c>
      <c r="E25" s="113" t="str">
        <f>IF(D25="","",VLOOKUP(D25,'Tournament Details'!$C:$H,6,FALSE))</f>
        <v/>
      </c>
      <c r="F25" s="113" t="str">
        <f>IF(D25="","",VLOOKUP(D25,'Tournament Details'!$C:$D,2,FALSE))</f>
        <v/>
      </c>
      <c r="G25" s="114" t="str">
        <f>IF(D25="","",VLOOKUP(D25,'Tournament Details'!$C:$E,3,FALSE))</f>
        <v/>
      </c>
      <c r="H25" s="268" t="str">
        <f>IF(D25="","",IF(VLOOKUP(D25,'Tournament Details'!$C:$G,5,FALSE)="","",VLOOKUP(D25,'Tournament Details'!$C:$G,5,FALSE)))</f>
        <v/>
      </c>
      <c r="I25" s="269"/>
      <c r="J25" s="155" t="str">
        <f>IF(D25="","",IF(COUNTIF('Round 1'!$D:$D,B25)=1,IF(VLOOKUP(D25,'Round 1'!$D:$Q,14,FALSE)="",0,IF(A25&gt;=1,VLOOKUP(D25,'Round 1'!$D:$Q,14,FALSE),0)),0))</f>
        <v/>
      </c>
      <c r="K25" s="95" t="str">
        <f>IF(D25="","",IF(COUNTIF('Round 1'!$D:$D,B25)=1,IF(VLOOKUP(D25,'Round 1'!$D:$Q,14,FALSE)="",0,IF(A25&gt;=1,VLOOKUP(D25,'Round 1'!$D:$K,8,FALSE),0)),0))</f>
        <v/>
      </c>
      <c r="L25" s="96" t="str">
        <f>IF(D25="","",IF(COUNTIF('Round 2'!$D:$D,B25)=1,IF(VLOOKUP(D25,'Round 2'!$D:$Q,14,FALSE)="",0,IF(A25&gt;=2,VLOOKUP(D25,'Round 2'!$D:$Q,14,FALSE),0)),0))</f>
        <v/>
      </c>
      <c r="M25" s="97" t="str">
        <f>IF(D25="","",IF(COUNTIF('Round 2'!$D:$D,B25)=1,IF(VLOOKUP(D25,'Round 2'!$D:$Q,14,FALSE)="",0,IF(A25&gt;=2,VLOOKUP(D25,'Round 2'!$D:$K,8,FALSE),0)),0))</f>
        <v/>
      </c>
      <c r="N25" s="98" t="str">
        <f>IF(D25="","",IF(COUNTIF('Round 3'!$D:$D,B25)=1,IF(VLOOKUP(D25,'Round 3'!$D:$Q,14,FALSE)="",0,IF(A25&gt;=3,VLOOKUP(D25,'Round 3'!$D:$Q,14,FALSE),0)),0))</f>
        <v/>
      </c>
      <c r="O25" s="99" t="str">
        <f>IF(D25="","",IF(COUNTIF('Round 3'!$D:$D,B25)=1,IF(VLOOKUP(D25,'Round 3'!$D:$Q,14,FALSE)="",0,IF(A25&gt;=3,VLOOKUP(D25,'Round 3'!$D:$K,8,FALSE),0)),0))</f>
        <v/>
      </c>
      <c r="P25" s="100" t="str">
        <f>IF(D25="","",IF(COUNTIF('Round 4'!$D:$D,B25)=1,IF(VLOOKUP(D25,'Round 4'!$D:$Q,14,FALSE)="",0,IF(A25&gt;=4,VLOOKUP(D25,'Round 4'!$D:$Q,14,FALSE),0)),0))</f>
        <v/>
      </c>
      <c r="Q25" s="101" t="str">
        <f>IF(D25="","",IF(COUNTIF('Round 4'!$D:$D,B25)=1,IF(VLOOKUP(D25,'Round 4'!$D:$Q,14,FALSE)="",0,IF(A25&gt;=4,VLOOKUP(D25,'Round 4'!$D:$K,8,FALSE),0)),0))</f>
        <v/>
      </c>
      <c r="R25" s="102" t="str">
        <f>IF(D25="","",IF(COUNTIF('Round 5'!$D:$D,B25)=1,IF(VLOOKUP(D25,'Round 5'!$D:$Q,14,FALSE)="",0,IF(A25&gt;=5,VLOOKUP(D25,'Round 5'!$D:$Q,14,FALSE),0)),0))</f>
        <v/>
      </c>
      <c r="S25" s="103" t="str">
        <f>IF(D25="","",IF(COUNTIF('Round 5'!$D:$D,B25)=1,IF(VLOOKUP(D25,'Round 5'!$D:$Q,14,FALSE)="",0,IF(A25&gt;=5,VLOOKUP(D25,'Round 5'!$D:$K,8,FALSE),0)),0))</f>
        <v/>
      </c>
      <c r="T25" s="108" t="str">
        <f t="shared" si="0"/>
        <v/>
      </c>
      <c r="U25" s="137" t="str">
        <f t="shared" si="1"/>
        <v/>
      </c>
    </row>
    <row r="26" spans="1:21" x14ac:dyDescent="0.3">
      <c r="A26" s="82">
        <f>IF(D11="",0,'Tournament Details'!G4)</f>
        <v>0</v>
      </c>
      <c r="B26" s="90">
        <v>16</v>
      </c>
      <c r="C26" s="112" t="str">
        <f>IF('Tournament Details'!C22="","",B26)</f>
        <v/>
      </c>
      <c r="D26" s="105" t="str">
        <f>IF('Tournament Details'!C22="","",VLOOKUP(C26,'Tournament Details'!$B:$C,2,FALSE))</f>
        <v/>
      </c>
      <c r="E26" s="113" t="str">
        <f>IF(D26="","",VLOOKUP(D26,'Tournament Details'!$C:$H,6,FALSE))</f>
        <v/>
      </c>
      <c r="F26" s="113" t="str">
        <f>IF(D26="","",VLOOKUP(D26,'Tournament Details'!$C:$D,2,FALSE))</f>
        <v/>
      </c>
      <c r="G26" s="114" t="str">
        <f>IF(D26="","",VLOOKUP(D26,'Tournament Details'!$C:$E,3,FALSE))</f>
        <v/>
      </c>
      <c r="H26" s="268" t="str">
        <f>IF(D26="","",IF(VLOOKUP(D26,'Tournament Details'!$C:$G,5,FALSE)="","",VLOOKUP(D26,'Tournament Details'!$C:$G,5,FALSE)))</f>
        <v/>
      </c>
      <c r="I26" s="269"/>
      <c r="J26" s="155" t="str">
        <f>IF(D26="","",IF(COUNTIF('Round 1'!$D:$D,B26)=1,IF(VLOOKUP(D26,'Round 1'!$D:$Q,14,FALSE)="",0,IF(A26&gt;=1,VLOOKUP(D26,'Round 1'!$D:$Q,14,FALSE),0)),0))</f>
        <v/>
      </c>
      <c r="K26" s="95" t="str">
        <f>IF(D26="","",IF(COUNTIF('Round 1'!$D:$D,B26)=1,IF(VLOOKUP(D26,'Round 1'!$D:$Q,14,FALSE)="",0,IF(A26&gt;=1,VLOOKUP(D26,'Round 1'!$D:$K,8,FALSE),0)),0))</f>
        <v/>
      </c>
      <c r="L26" s="96" t="str">
        <f>IF(D26="","",IF(COUNTIF('Round 2'!$D:$D,B26)=1,IF(VLOOKUP(D26,'Round 2'!$D:$Q,14,FALSE)="",0,IF(A26&gt;=2,VLOOKUP(D26,'Round 2'!$D:$Q,14,FALSE),0)),0))</f>
        <v/>
      </c>
      <c r="M26" s="97" t="str">
        <f>IF(D26="","",IF(COUNTIF('Round 2'!$D:$D,B26)=1,IF(VLOOKUP(D26,'Round 2'!$D:$Q,14,FALSE)="",0,IF(A26&gt;=2,VLOOKUP(D26,'Round 2'!$D:$K,8,FALSE),0)),0))</f>
        <v/>
      </c>
      <c r="N26" s="98" t="str">
        <f>IF(D26="","",IF(COUNTIF('Round 3'!$D:$D,B26)=1,IF(VLOOKUP(D26,'Round 3'!$D:$Q,14,FALSE)="",0,IF(A26&gt;=3,VLOOKUP(D26,'Round 3'!$D:$Q,14,FALSE),0)),0))</f>
        <v/>
      </c>
      <c r="O26" s="99" t="str">
        <f>IF(D26="","",IF(COUNTIF('Round 3'!$D:$D,B26)=1,IF(VLOOKUP(D26,'Round 3'!$D:$Q,14,FALSE)="",0,IF(A26&gt;=3,VLOOKUP(D26,'Round 3'!$D:$K,8,FALSE),0)),0))</f>
        <v/>
      </c>
      <c r="P26" s="100" t="str">
        <f>IF(D26="","",IF(COUNTIF('Round 4'!$D:$D,B26)=1,IF(VLOOKUP(D26,'Round 4'!$D:$Q,14,FALSE)="",0,IF(A26&gt;=4,VLOOKUP(D26,'Round 4'!$D:$Q,14,FALSE),0)),0))</f>
        <v/>
      </c>
      <c r="Q26" s="101" t="str">
        <f>IF(D26="","",IF(COUNTIF('Round 4'!$D:$D,B26)=1,IF(VLOOKUP(D26,'Round 4'!$D:$Q,14,FALSE)="",0,IF(A26&gt;=4,VLOOKUP(D26,'Round 4'!$D:$K,8,FALSE),0)),0))</f>
        <v/>
      </c>
      <c r="R26" s="102" t="str">
        <f>IF(D26="","",IF(COUNTIF('Round 5'!$D:$D,B26)=1,IF(VLOOKUP(D26,'Round 5'!$D:$Q,14,FALSE)="",0,IF(A26&gt;=5,VLOOKUP(D26,'Round 5'!$D:$Q,14,FALSE),0)),0))</f>
        <v/>
      </c>
      <c r="S26" s="103" t="str">
        <f>IF(D26="","",IF(COUNTIF('Round 5'!$D:$D,B26)=1,IF(VLOOKUP(D26,'Round 5'!$D:$Q,14,FALSE)="",0,IF(A26&gt;=5,VLOOKUP(D26,'Round 5'!$D:$K,8,FALSE),0)),0))</f>
        <v/>
      </c>
      <c r="T26" s="108" t="str">
        <f t="shared" si="0"/>
        <v/>
      </c>
      <c r="U26" s="137" t="str">
        <f t="shared" si="1"/>
        <v/>
      </c>
    </row>
    <row r="27" spans="1:21" x14ac:dyDescent="0.3">
      <c r="A27" s="82">
        <f>IF(D11="",0,'Tournament Details'!G4)</f>
        <v>0</v>
      </c>
      <c r="B27" s="90">
        <v>17</v>
      </c>
      <c r="C27" s="112" t="str">
        <f>IF('Tournament Details'!C23="","",B27)</f>
        <v/>
      </c>
      <c r="D27" s="105" t="str">
        <f>IF('Tournament Details'!C23="","",VLOOKUP(C27,'Tournament Details'!$B:$C,2,FALSE))</f>
        <v/>
      </c>
      <c r="E27" s="113" t="str">
        <f>IF(D27="","",VLOOKUP(D27,'Tournament Details'!$C:$H,6,FALSE))</f>
        <v/>
      </c>
      <c r="F27" s="113" t="str">
        <f>IF(D27="","",VLOOKUP(D27,'Tournament Details'!$C:$D,2,FALSE))</f>
        <v/>
      </c>
      <c r="G27" s="114" t="str">
        <f>IF(D27="","",VLOOKUP(D27,'Tournament Details'!$C:$E,3,FALSE))</f>
        <v/>
      </c>
      <c r="H27" s="268" t="str">
        <f>IF(D27="","",IF(VLOOKUP(D27,'Tournament Details'!$C:$G,5,FALSE)="","",VLOOKUP(D27,'Tournament Details'!$C:$G,5,FALSE)))</f>
        <v/>
      </c>
      <c r="I27" s="269"/>
      <c r="J27" s="155" t="str">
        <f>IF(D27="","",IF(COUNTIF('Round 1'!$D:$D,B27)=1,IF(VLOOKUP(D27,'Round 1'!$D:$Q,14,FALSE)="",0,IF(A27&gt;=1,VLOOKUP(D27,'Round 1'!$D:$Q,14,FALSE),0)),0))</f>
        <v/>
      </c>
      <c r="K27" s="95" t="str">
        <f>IF(D27="","",IF(COUNTIF('Round 1'!$D:$D,B27)=1,IF(VLOOKUP(D27,'Round 1'!$D:$Q,14,FALSE)="",0,IF(A27&gt;=1,VLOOKUP(D27,'Round 1'!$D:$K,8,FALSE),0)),0))</f>
        <v/>
      </c>
      <c r="L27" s="96" t="str">
        <f>IF(D27="","",IF(COUNTIF('Round 2'!$D:$D,B27)=1,IF(VLOOKUP(D27,'Round 2'!$D:$Q,14,FALSE)="",0,IF(A27&gt;=2,VLOOKUP(D27,'Round 2'!$D:$Q,14,FALSE),0)),0))</f>
        <v/>
      </c>
      <c r="M27" s="97" t="str">
        <f>IF(D27="","",IF(COUNTIF('Round 2'!$D:$D,B27)=1,IF(VLOOKUP(D27,'Round 2'!$D:$Q,14,FALSE)="",0,IF(A27&gt;=2,VLOOKUP(D27,'Round 2'!$D:$K,8,FALSE),0)),0))</f>
        <v/>
      </c>
      <c r="N27" s="98" t="str">
        <f>IF(D27="","",IF(COUNTIF('Round 3'!$D:$D,B27)=1,IF(VLOOKUP(D27,'Round 3'!$D:$Q,14,FALSE)="",0,IF(A27&gt;=3,VLOOKUP(D27,'Round 3'!$D:$Q,14,FALSE),0)),0))</f>
        <v/>
      </c>
      <c r="O27" s="99" t="str">
        <f>IF(D27="","",IF(COUNTIF('Round 3'!$D:$D,B27)=1,IF(VLOOKUP(D27,'Round 3'!$D:$Q,14,FALSE)="",0,IF(A27&gt;=3,VLOOKUP(D27,'Round 3'!$D:$K,8,FALSE),0)),0))</f>
        <v/>
      </c>
      <c r="P27" s="100" t="str">
        <f>IF(D27="","",IF(COUNTIF('Round 4'!$D:$D,B27)=1,IF(VLOOKUP(D27,'Round 4'!$D:$Q,14,FALSE)="",0,IF(A27&gt;=4,VLOOKUP(D27,'Round 4'!$D:$Q,14,FALSE),0)),0))</f>
        <v/>
      </c>
      <c r="Q27" s="101" t="str">
        <f>IF(D27="","",IF(COUNTIF('Round 4'!$D:$D,B27)=1,IF(VLOOKUP(D27,'Round 4'!$D:$Q,14,FALSE)="",0,IF(A27&gt;=4,VLOOKUP(D27,'Round 4'!$D:$K,8,FALSE),0)),0))</f>
        <v/>
      </c>
      <c r="R27" s="102" t="str">
        <f>IF(D27="","",IF(COUNTIF('Round 5'!$D:$D,B27)=1,IF(VLOOKUP(D27,'Round 5'!$D:$Q,14,FALSE)="",0,IF(A27&gt;=5,VLOOKUP(D27,'Round 5'!$D:$Q,14,FALSE),0)),0))</f>
        <v/>
      </c>
      <c r="S27" s="103" t="str">
        <f>IF(D27="","",IF(COUNTIF('Round 5'!$D:$D,B27)=1,IF(VLOOKUP(D27,'Round 5'!$D:$Q,14,FALSE)="",0,IF(A27&gt;=5,VLOOKUP(D27,'Round 5'!$D:$K,8,FALSE),0)),0))</f>
        <v/>
      </c>
      <c r="T27" s="108" t="str">
        <f t="shared" si="0"/>
        <v/>
      </c>
      <c r="U27" s="137" t="str">
        <f t="shared" si="1"/>
        <v/>
      </c>
    </row>
    <row r="28" spans="1:21" x14ac:dyDescent="0.3">
      <c r="A28" s="82">
        <f>IF(D11="",0,'Tournament Details'!G4)</f>
        <v>0</v>
      </c>
      <c r="B28" s="90">
        <v>18</v>
      </c>
      <c r="C28" s="112" t="str">
        <f>IF('Tournament Details'!C24="","",B28)</f>
        <v/>
      </c>
      <c r="D28" s="105" t="str">
        <f>IF('Tournament Details'!C24="","",VLOOKUP(C28,'Tournament Details'!$B:$C,2,FALSE))</f>
        <v/>
      </c>
      <c r="E28" s="113" t="str">
        <f>IF(D28="","",VLOOKUP(D28,'Tournament Details'!$C:$H,6,FALSE))</f>
        <v/>
      </c>
      <c r="F28" s="113" t="str">
        <f>IF(D28="","",VLOOKUP(D28,'Tournament Details'!$C:$D,2,FALSE))</f>
        <v/>
      </c>
      <c r="G28" s="114" t="str">
        <f>IF(D28="","",VLOOKUP(D28,'Tournament Details'!$C:$E,3,FALSE))</f>
        <v/>
      </c>
      <c r="H28" s="268" t="str">
        <f>IF(D28="","",IF(VLOOKUP(D28,'Tournament Details'!$C:$G,5,FALSE)="","",VLOOKUP(D28,'Tournament Details'!$C:$G,5,FALSE)))</f>
        <v/>
      </c>
      <c r="I28" s="269"/>
      <c r="J28" s="155" t="str">
        <f>IF(D28="","",IF(COUNTIF('Round 1'!$D:$D,B28)=1,IF(VLOOKUP(D28,'Round 1'!$D:$Q,14,FALSE)="",0,IF(A28&gt;=1,VLOOKUP(D28,'Round 1'!$D:$Q,14,FALSE),0)),0))</f>
        <v/>
      </c>
      <c r="K28" s="95" t="str">
        <f>IF(D28="","",IF(COUNTIF('Round 1'!$D:$D,B28)=1,IF(VLOOKUP(D28,'Round 1'!$D:$Q,14,FALSE)="",0,IF(A28&gt;=1,VLOOKUP(D28,'Round 1'!$D:$K,8,FALSE),0)),0))</f>
        <v/>
      </c>
      <c r="L28" s="96" t="str">
        <f>IF(D28="","",IF(COUNTIF('Round 2'!$D:$D,B28)=1,IF(VLOOKUP(D28,'Round 2'!$D:$Q,14,FALSE)="",0,IF(A28&gt;=2,VLOOKUP(D28,'Round 2'!$D:$Q,14,FALSE),0)),0))</f>
        <v/>
      </c>
      <c r="M28" s="97" t="str">
        <f>IF(D28="","",IF(COUNTIF('Round 2'!$D:$D,B28)=1,IF(VLOOKUP(D28,'Round 2'!$D:$Q,14,FALSE)="",0,IF(A28&gt;=2,VLOOKUP(D28,'Round 2'!$D:$K,8,FALSE),0)),0))</f>
        <v/>
      </c>
      <c r="N28" s="98" t="str">
        <f>IF(D28="","",IF(COUNTIF('Round 3'!$D:$D,B28)=1,IF(VLOOKUP(D28,'Round 3'!$D:$Q,14,FALSE)="",0,IF(A28&gt;=3,VLOOKUP(D28,'Round 3'!$D:$Q,14,FALSE),0)),0))</f>
        <v/>
      </c>
      <c r="O28" s="99" t="str">
        <f>IF(D28="","",IF(COUNTIF('Round 3'!$D:$D,B28)=1,IF(VLOOKUP(D28,'Round 3'!$D:$Q,14,FALSE)="",0,IF(A28&gt;=3,VLOOKUP(D28,'Round 3'!$D:$K,8,FALSE),0)),0))</f>
        <v/>
      </c>
      <c r="P28" s="100" t="str">
        <f>IF(D28="","",IF(COUNTIF('Round 4'!$D:$D,B28)=1,IF(VLOOKUP(D28,'Round 4'!$D:$Q,14,FALSE)="",0,IF(A28&gt;=4,VLOOKUP(D28,'Round 4'!$D:$Q,14,FALSE),0)),0))</f>
        <v/>
      </c>
      <c r="Q28" s="101" t="str">
        <f>IF(D28="","",IF(COUNTIF('Round 4'!$D:$D,B28)=1,IF(VLOOKUP(D28,'Round 4'!$D:$Q,14,FALSE)="",0,IF(A28&gt;=4,VLOOKUP(D28,'Round 4'!$D:$K,8,FALSE),0)),0))</f>
        <v/>
      </c>
      <c r="R28" s="102" t="str">
        <f>IF(D28="","",IF(COUNTIF('Round 5'!$D:$D,B28)=1,IF(VLOOKUP(D28,'Round 5'!$D:$Q,14,FALSE)="",0,IF(A28&gt;=5,VLOOKUP(D28,'Round 5'!$D:$Q,14,FALSE),0)),0))</f>
        <v/>
      </c>
      <c r="S28" s="103" t="str">
        <f>IF(D28="","",IF(COUNTIF('Round 5'!$D:$D,B28)=1,IF(VLOOKUP(D28,'Round 5'!$D:$Q,14,FALSE)="",0,IF(A28&gt;=5,VLOOKUP(D28,'Round 5'!$D:$K,8,FALSE),0)),0))</f>
        <v/>
      </c>
      <c r="T28" s="108" t="str">
        <f t="shared" si="0"/>
        <v/>
      </c>
      <c r="U28" s="137" t="str">
        <f t="shared" si="1"/>
        <v/>
      </c>
    </row>
    <row r="29" spans="1:21" x14ac:dyDescent="0.3">
      <c r="A29" s="82">
        <f>IF(D11="",0,'Tournament Details'!G4)</f>
        <v>0</v>
      </c>
      <c r="B29" s="90">
        <v>19</v>
      </c>
      <c r="C29" s="112" t="str">
        <f>IF('Tournament Details'!C25="","",B29)</f>
        <v/>
      </c>
      <c r="D29" s="105" t="str">
        <f>IF('Tournament Details'!C25="","",VLOOKUP(C29,'Tournament Details'!$B:$C,2,FALSE))</f>
        <v/>
      </c>
      <c r="E29" s="113" t="str">
        <f>IF(D29="","",VLOOKUP(D29,'Tournament Details'!$C:$H,6,FALSE))</f>
        <v/>
      </c>
      <c r="F29" s="113" t="str">
        <f>IF(D29="","",VLOOKUP(D29,'Tournament Details'!$C:$D,2,FALSE))</f>
        <v/>
      </c>
      <c r="G29" s="114" t="str">
        <f>IF(D29="","",VLOOKUP(D29,'Tournament Details'!$C:$E,3,FALSE))</f>
        <v/>
      </c>
      <c r="H29" s="268" t="str">
        <f>IF(D29="","",IF(VLOOKUP(D29,'Tournament Details'!$C:$G,5,FALSE)="","",VLOOKUP(D29,'Tournament Details'!$C:$G,5,FALSE)))</f>
        <v/>
      </c>
      <c r="I29" s="269"/>
      <c r="J29" s="155" t="str">
        <f>IF(D29="","",IF(COUNTIF('Round 1'!$D:$D,B29)=1,IF(VLOOKUP(D29,'Round 1'!$D:$Q,14,FALSE)="",0,IF(A29&gt;=1,VLOOKUP(D29,'Round 1'!$D:$Q,14,FALSE),0)),0))</f>
        <v/>
      </c>
      <c r="K29" s="95" t="str">
        <f>IF(D29="","",IF(COUNTIF('Round 1'!$D:$D,B29)=1,IF(VLOOKUP(D29,'Round 1'!$D:$Q,14,FALSE)="",0,IF(A29&gt;=1,VLOOKUP(D29,'Round 1'!$D:$K,8,FALSE),0)),0))</f>
        <v/>
      </c>
      <c r="L29" s="96" t="str">
        <f>IF(D29="","",IF(COUNTIF('Round 2'!$D:$D,B29)=1,IF(VLOOKUP(D29,'Round 2'!$D:$Q,14,FALSE)="",0,IF(A29&gt;=2,VLOOKUP(D29,'Round 2'!$D:$Q,14,FALSE),0)),0))</f>
        <v/>
      </c>
      <c r="M29" s="97" t="str">
        <f>IF(D29="","",IF(COUNTIF('Round 2'!$D:$D,B29)=1,IF(VLOOKUP(D29,'Round 2'!$D:$Q,14,FALSE)="",0,IF(A29&gt;=2,VLOOKUP(D29,'Round 2'!$D:$K,8,FALSE),0)),0))</f>
        <v/>
      </c>
      <c r="N29" s="98" t="str">
        <f>IF(D29="","",IF(COUNTIF('Round 3'!$D:$D,B29)=1,IF(VLOOKUP(D29,'Round 3'!$D:$Q,14,FALSE)="",0,IF(A29&gt;=3,VLOOKUP(D29,'Round 3'!$D:$Q,14,FALSE),0)),0))</f>
        <v/>
      </c>
      <c r="O29" s="99" t="str">
        <f>IF(D29="","",IF(COUNTIF('Round 3'!$D:$D,B29)=1,IF(VLOOKUP(D29,'Round 3'!$D:$Q,14,FALSE)="",0,IF(A29&gt;=3,VLOOKUP(D29,'Round 3'!$D:$K,8,FALSE),0)),0))</f>
        <v/>
      </c>
      <c r="P29" s="100" t="str">
        <f>IF(D29="","",IF(COUNTIF('Round 4'!$D:$D,B29)=1,IF(VLOOKUP(D29,'Round 4'!$D:$Q,14,FALSE)="",0,IF(A29&gt;=4,VLOOKUP(D29,'Round 4'!$D:$Q,14,FALSE),0)),0))</f>
        <v/>
      </c>
      <c r="Q29" s="101" t="str">
        <f>IF(D29="","",IF(COUNTIF('Round 4'!$D:$D,B29)=1,IF(VLOOKUP(D29,'Round 4'!$D:$Q,14,FALSE)="",0,IF(A29&gt;=4,VLOOKUP(D29,'Round 4'!$D:$K,8,FALSE),0)),0))</f>
        <v/>
      </c>
      <c r="R29" s="102" t="str">
        <f>IF(D29="","",IF(COUNTIF('Round 5'!$D:$D,B29)=1,IF(VLOOKUP(D29,'Round 5'!$D:$Q,14,FALSE)="",0,IF(A29&gt;=5,VLOOKUP(D29,'Round 5'!$D:$Q,14,FALSE),0)),0))</f>
        <v/>
      </c>
      <c r="S29" s="103" t="str">
        <f>IF(D29="","",IF(COUNTIF('Round 5'!$D:$D,B29)=1,IF(VLOOKUP(D29,'Round 5'!$D:$Q,14,FALSE)="",0,IF(A29&gt;=5,VLOOKUP(D29,'Round 5'!$D:$K,8,FALSE),0)),0))</f>
        <v/>
      </c>
      <c r="T29" s="108" t="str">
        <f t="shared" si="0"/>
        <v/>
      </c>
      <c r="U29" s="137" t="str">
        <f t="shared" si="1"/>
        <v/>
      </c>
    </row>
    <row r="30" spans="1:21" x14ac:dyDescent="0.3">
      <c r="A30" s="82">
        <f>IF(D11="",0,'Tournament Details'!G4)</f>
        <v>0</v>
      </c>
      <c r="B30" s="90">
        <v>20</v>
      </c>
      <c r="C30" s="112" t="str">
        <f>IF('Tournament Details'!C26="","",B30)</f>
        <v/>
      </c>
      <c r="D30" s="105" t="str">
        <f>IF('Tournament Details'!C26="","",VLOOKUP(C30,'Tournament Details'!$B:$C,2,FALSE))</f>
        <v/>
      </c>
      <c r="E30" s="113" t="str">
        <f>IF(D30="","",VLOOKUP(D30,'Tournament Details'!$C:$H,6,FALSE))</f>
        <v/>
      </c>
      <c r="F30" s="113" t="str">
        <f>IF(D30="","",VLOOKUP(D30,'Tournament Details'!$C:$D,2,FALSE))</f>
        <v/>
      </c>
      <c r="G30" s="114" t="str">
        <f>IF(D30="","",VLOOKUP(D30,'Tournament Details'!$C:$E,3,FALSE))</f>
        <v/>
      </c>
      <c r="H30" s="268" t="str">
        <f>IF(D30="","",IF(VLOOKUP(D30,'Tournament Details'!$C:$G,5,FALSE)="","",VLOOKUP(D30,'Tournament Details'!$C:$G,5,FALSE)))</f>
        <v/>
      </c>
      <c r="I30" s="269"/>
      <c r="J30" s="155" t="str">
        <f>IF(D30="","",IF(COUNTIF('Round 1'!$D:$D,B30)=1,IF(VLOOKUP(D30,'Round 1'!$D:$Q,14,FALSE)="",0,IF(A30&gt;=1,VLOOKUP(D30,'Round 1'!$D:$Q,14,FALSE),0)),0))</f>
        <v/>
      </c>
      <c r="K30" s="95" t="str">
        <f>IF(D30="","",IF(COUNTIF('Round 1'!$D:$D,B30)=1,IF(VLOOKUP(D30,'Round 1'!$D:$Q,14,FALSE)="",0,IF(A30&gt;=1,VLOOKUP(D30,'Round 1'!$D:$K,8,FALSE),0)),0))</f>
        <v/>
      </c>
      <c r="L30" s="96" t="str">
        <f>IF(D30="","",IF(COUNTIF('Round 2'!$D:$D,B30)=1,IF(VLOOKUP(D30,'Round 2'!$D:$Q,14,FALSE)="",0,IF(A30&gt;=2,VLOOKUP(D30,'Round 2'!$D:$Q,14,FALSE),0)),0))</f>
        <v/>
      </c>
      <c r="M30" s="97" t="str">
        <f>IF(D30="","",IF(COUNTIF('Round 2'!$D:$D,B30)=1,IF(VLOOKUP(D30,'Round 2'!$D:$Q,14,FALSE)="",0,IF(A30&gt;=2,VLOOKUP(D30,'Round 2'!$D:$K,8,FALSE),0)),0))</f>
        <v/>
      </c>
      <c r="N30" s="98" t="str">
        <f>IF(D30="","",IF(COUNTIF('Round 3'!$D:$D,B30)=1,IF(VLOOKUP(D30,'Round 3'!$D:$Q,14,FALSE)="",0,IF(A30&gt;=3,VLOOKUP(D30,'Round 3'!$D:$Q,14,FALSE),0)),0))</f>
        <v/>
      </c>
      <c r="O30" s="99" t="str">
        <f>IF(D30="","",IF(COUNTIF('Round 3'!$D:$D,B30)=1,IF(VLOOKUP(D30,'Round 3'!$D:$Q,14,FALSE)="",0,IF(A30&gt;=3,VLOOKUP(D30,'Round 3'!$D:$K,8,FALSE),0)),0))</f>
        <v/>
      </c>
      <c r="P30" s="100" t="str">
        <f>IF(D30="","",IF(COUNTIF('Round 4'!$D:$D,B30)=1,IF(VLOOKUP(D30,'Round 4'!$D:$Q,14,FALSE)="",0,IF(A30&gt;=4,VLOOKUP(D30,'Round 4'!$D:$Q,14,FALSE),0)),0))</f>
        <v/>
      </c>
      <c r="Q30" s="101" t="str">
        <f>IF(D30="","",IF(COUNTIF('Round 4'!$D:$D,B30)=1,IF(VLOOKUP(D30,'Round 4'!$D:$Q,14,FALSE)="",0,IF(A30&gt;=4,VLOOKUP(D30,'Round 4'!$D:$K,8,FALSE),0)),0))</f>
        <v/>
      </c>
      <c r="R30" s="102" t="str">
        <f>IF(D30="","",IF(COUNTIF('Round 5'!$D:$D,B30)=1,IF(VLOOKUP(D30,'Round 5'!$D:$Q,14,FALSE)="",0,IF(A30&gt;=5,VLOOKUP(D30,'Round 5'!$D:$Q,14,FALSE),0)),0))</f>
        <v/>
      </c>
      <c r="S30" s="103" t="str">
        <f>IF(D30="","",IF(COUNTIF('Round 5'!$D:$D,B30)=1,IF(VLOOKUP(D30,'Round 5'!$D:$Q,14,FALSE)="",0,IF(A30&gt;=5,VLOOKUP(D30,'Round 5'!$D:$K,8,FALSE),0)),0))</f>
        <v/>
      </c>
      <c r="T30" s="108" t="str">
        <f t="shared" si="0"/>
        <v/>
      </c>
      <c r="U30" s="137" t="str">
        <f t="shared" si="1"/>
        <v/>
      </c>
    </row>
    <row r="31" spans="1:21" x14ac:dyDescent="0.3">
      <c r="A31" s="82">
        <f>IF(D11="",0,'Tournament Details'!G4)</f>
        <v>0</v>
      </c>
      <c r="B31" s="90">
        <v>21</v>
      </c>
      <c r="C31" s="112" t="str">
        <f>IF('Tournament Details'!C27="","",B31)</f>
        <v/>
      </c>
      <c r="D31" s="105" t="str">
        <f>IF('Tournament Details'!C27="","",VLOOKUP(C31,'Tournament Details'!$B:$C,2,FALSE))</f>
        <v/>
      </c>
      <c r="E31" s="113" t="str">
        <f>IF(D31="","",VLOOKUP(D31,'Tournament Details'!$C:$H,6,FALSE))</f>
        <v/>
      </c>
      <c r="F31" s="113" t="str">
        <f>IF(D31="","",VLOOKUP(D31,'Tournament Details'!$C:$D,2,FALSE))</f>
        <v/>
      </c>
      <c r="G31" s="114" t="str">
        <f>IF(D31="","",VLOOKUP(D31,'Tournament Details'!$C:$E,3,FALSE))</f>
        <v/>
      </c>
      <c r="H31" s="268" t="str">
        <f>IF(D31="","",IF(VLOOKUP(D31,'Tournament Details'!$C:$G,5,FALSE)="","",VLOOKUP(D31,'Tournament Details'!$C:$G,5,FALSE)))</f>
        <v/>
      </c>
      <c r="I31" s="269"/>
      <c r="J31" s="155" t="str">
        <f>IF(D31="","",IF(COUNTIF('Round 1'!$D:$D,B31)=1,IF(VLOOKUP(D31,'Round 1'!$D:$Q,14,FALSE)="",0,IF(A31&gt;=1,VLOOKUP(D31,'Round 1'!$D:$Q,14,FALSE),0)),0))</f>
        <v/>
      </c>
      <c r="K31" s="95" t="str">
        <f>IF(D31="","",IF(COUNTIF('Round 1'!$D:$D,B31)=1,IF(VLOOKUP(D31,'Round 1'!$D:$Q,14,FALSE)="",0,IF(A31&gt;=1,VLOOKUP(D31,'Round 1'!$D:$K,8,FALSE),0)),0))</f>
        <v/>
      </c>
      <c r="L31" s="96" t="str">
        <f>IF(D31="","",IF(COUNTIF('Round 2'!$D:$D,B31)=1,IF(VLOOKUP(D31,'Round 2'!$D:$Q,14,FALSE)="",0,IF(A31&gt;=2,VLOOKUP(D31,'Round 2'!$D:$Q,14,FALSE),0)),0))</f>
        <v/>
      </c>
      <c r="M31" s="97" t="str">
        <f>IF(D31="","",IF(COUNTIF('Round 2'!$D:$D,B31)=1,IF(VLOOKUP(D31,'Round 2'!$D:$Q,14,FALSE)="",0,IF(A31&gt;=2,VLOOKUP(D31,'Round 2'!$D:$K,8,FALSE),0)),0))</f>
        <v/>
      </c>
      <c r="N31" s="98" t="str">
        <f>IF(D31="","",IF(COUNTIF('Round 3'!$D:$D,B31)=1,IF(VLOOKUP(D31,'Round 3'!$D:$Q,14,FALSE)="",0,IF(A31&gt;=3,VLOOKUP(D31,'Round 3'!$D:$Q,14,FALSE),0)),0))</f>
        <v/>
      </c>
      <c r="O31" s="99" t="str">
        <f>IF(D31="","",IF(COUNTIF('Round 3'!$D:$D,B31)=1,IF(VLOOKUP(D31,'Round 3'!$D:$Q,14,FALSE)="",0,IF(A31&gt;=3,VLOOKUP(D31,'Round 3'!$D:$K,8,FALSE),0)),0))</f>
        <v/>
      </c>
      <c r="P31" s="100" t="str">
        <f>IF(D31="","",IF(COUNTIF('Round 4'!$D:$D,B31)=1,IF(VLOOKUP(D31,'Round 4'!$D:$Q,14,FALSE)="",0,IF(A31&gt;=4,VLOOKUP(D31,'Round 4'!$D:$Q,14,FALSE),0)),0))</f>
        <v/>
      </c>
      <c r="Q31" s="101" t="str">
        <f>IF(D31="","",IF(COUNTIF('Round 4'!$D:$D,B31)=1,IF(VLOOKUP(D31,'Round 4'!$D:$Q,14,FALSE)="",0,IF(A31&gt;=4,VLOOKUP(D31,'Round 4'!$D:$K,8,FALSE),0)),0))</f>
        <v/>
      </c>
      <c r="R31" s="102" t="str">
        <f>IF(D31="","",IF(COUNTIF('Round 5'!$D:$D,B31)=1,IF(VLOOKUP(D31,'Round 5'!$D:$Q,14,FALSE)="",0,IF(A31&gt;=5,VLOOKUP(D31,'Round 5'!$D:$Q,14,FALSE),0)),0))</f>
        <v/>
      </c>
      <c r="S31" s="103" t="str">
        <f>IF(D31="","",IF(COUNTIF('Round 5'!$D:$D,B31)=1,IF(VLOOKUP(D31,'Round 5'!$D:$Q,14,FALSE)="",0,IF(A31&gt;=5,VLOOKUP(D31,'Round 5'!$D:$K,8,FALSE),0)),0))</f>
        <v/>
      </c>
      <c r="T31" s="108" t="str">
        <f t="shared" si="0"/>
        <v/>
      </c>
      <c r="U31" s="137" t="str">
        <f t="shared" si="1"/>
        <v/>
      </c>
    </row>
    <row r="32" spans="1:21" x14ac:dyDescent="0.3">
      <c r="A32" s="82">
        <f>IF(D11="",0,'Tournament Details'!G4)</f>
        <v>0</v>
      </c>
      <c r="B32" s="90">
        <v>22</v>
      </c>
      <c r="C32" s="112" t="str">
        <f>IF('Tournament Details'!C28="","",B32)</f>
        <v/>
      </c>
      <c r="D32" s="105" t="str">
        <f>IF('Tournament Details'!C28="","",VLOOKUP(C32,'Tournament Details'!$B:$C,2,FALSE))</f>
        <v/>
      </c>
      <c r="E32" s="113" t="str">
        <f>IF(D32="","",VLOOKUP(D32,'Tournament Details'!$C:$H,6,FALSE))</f>
        <v/>
      </c>
      <c r="F32" s="113" t="str">
        <f>IF(D32="","",VLOOKUP(D32,'Tournament Details'!$C:$D,2,FALSE))</f>
        <v/>
      </c>
      <c r="G32" s="114" t="str">
        <f>IF(D32="","",VLOOKUP(D32,'Tournament Details'!$C:$E,3,FALSE))</f>
        <v/>
      </c>
      <c r="H32" s="268" t="str">
        <f>IF(D32="","",IF(VLOOKUP(D32,'Tournament Details'!$C:$G,5,FALSE)="","",VLOOKUP(D32,'Tournament Details'!$C:$G,5,FALSE)))</f>
        <v/>
      </c>
      <c r="I32" s="269"/>
      <c r="J32" s="155" t="str">
        <f>IF(D32="","",IF(COUNTIF('Round 1'!$D:$D,B32)=1,IF(VLOOKUP(D32,'Round 1'!$D:$Q,14,FALSE)="",0,IF(A32&gt;=1,VLOOKUP(D32,'Round 1'!$D:$Q,14,FALSE),0)),0))</f>
        <v/>
      </c>
      <c r="K32" s="95" t="str">
        <f>IF(D32="","",IF(COUNTIF('Round 1'!$D:$D,B32)=1,IF(VLOOKUP(D32,'Round 1'!$D:$Q,14,FALSE)="",0,IF(A32&gt;=1,VLOOKUP(D32,'Round 1'!$D:$K,8,FALSE),0)),0))</f>
        <v/>
      </c>
      <c r="L32" s="96" t="str">
        <f>IF(D32="","",IF(COUNTIF('Round 2'!$D:$D,B32)=1,IF(VLOOKUP(D32,'Round 2'!$D:$Q,14,FALSE)="",0,IF(A32&gt;=2,VLOOKUP(D32,'Round 2'!$D:$Q,14,FALSE),0)),0))</f>
        <v/>
      </c>
      <c r="M32" s="97" t="str">
        <f>IF(D32="","",IF(COUNTIF('Round 2'!$D:$D,B32)=1,IF(VLOOKUP(D32,'Round 2'!$D:$Q,14,FALSE)="",0,IF(A32&gt;=2,VLOOKUP(D32,'Round 2'!$D:$K,8,FALSE),0)),0))</f>
        <v/>
      </c>
      <c r="N32" s="98" t="str">
        <f>IF(D32="","",IF(COUNTIF('Round 3'!$D:$D,B32)=1,IF(VLOOKUP(D32,'Round 3'!$D:$Q,14,FALSE)="",0,IF(A32&gt;=3,VLOOKUP(D32,'Round 3'!$D:$Q,14,FALSE),0)),0))</f>
        <v/>
      </c>
      <c r="O32" s="99" t="str">
        <f>IF(D32="","",IF(COUNTIF('Round 3'!$D:$D,B32)=1,IF(VLOOKUP(D32,'Round 3'!$D:$Q,14,FALSE)="",0,IF(A32&gt;=3,VLOOKUP(D32,'Round 3'!$D:$K,8,FALSE),0)),0))</f>
        <v/>
      </c>
      <c r="P32" s="100" t="str">
        <f>IF(D32="","",IF(COUNTIF('Round 4'!$D:$D,B32)=1,IF(VLOOKUP(D32,'Round 4'!$D:$Q,14,FALSE)="",0,IF(A32&gt;=4,VLOOKUP(D32,'Round 4'!$D:$Q,14,FALSE),0)),0))</f>
        <v/>
      </c>
      <c r="Q32" s="101" t="str">
        <f>IF(D32="","",IF(COUNTIF('Round 4'!$D:$D,B32)=1,IF(VLOOKUP(D32,'Round 4'!$D:$Q,14,FALSE)="",0,IF(A32&gt;=4,VLOOKUP(D32,'Round 4'!$D:$K,8,FALSE),0)),0))</f>
        <v/>
      </c>
      <c r="R32" s="102" t="str">
        <f>IF(D32="","",IF(COUNTIF('Round 5'!$D:$D,B32)=1,IF(VLOOKUP(D32,'Round 5'!$D:$Q,14,FALSE)="",0,IF(A32&gt;=5,VLOOKUP(D32,'Round 5'!$D:$Q,14,FALSE),0)),0))</f>
        <v/>
      </c>
      <c r="S32" s="103" t="str">
        <f>IF(D32="","",IF(COUNTIF('Round 5'!$D:$D,B32)=1,IF(VLOOKUP(D32,'Round 5'!$D:$Q,14,FALSE)="",0,IF(A32&gt;=5,VLOOKUP(D32,'Round 5'!$D:$K,8,FALSE),0)),0))</f>
        <v/>
      </c>
      <c r="T32" s="108" t="str">
        <f t="shared" si="0"/>
        <v/>
      </c>
      <c r="U32" s="137" t="str">
        <f t="shared" si="1"/>
        <v/>
      </c>
    </row>
    <row r="33" spans="1:21" x14ac:dyDescent="0.3">
      <c r="A33" s="82">
        <f>IF(D11="",0,'Tournament Details'!G4)</f>
        <v>0</v>
      </c>
      <c r="B33" s="90">
        <v>23</v>
      </c>
      <c r="C33" s="112" t="str">
        <f>IF('Tournament Details'!C29="","",B33)</f>
        <v/>
      </c>
      <c r="D33" s="105" t="str">
        <f>IF('Tournament Details'!C29="","",VLOOKUP(C33,'Tournament Details'!$B:$C,2,FALSE))</f>
        <v/>
      </c>
      <c r="E33" s="113" t="str">
        <f>IF(D33="","",VLOOKUP(D33,'Tournament Details'!$C:$H,6,FALSE))</f>
        <v/>
      </c>
      <c r="F33" s="113" t="str">
        <f>IF(D33="","",VLOOKUP(D33,'Tournament Details'!$C:$D,2,FALSE))</f>
        <v/>
      </c>
      <c r="G33" s="114" t="str">
        <f>IF(D33="","",VLOOKUP(D33,'Tournament Details'!$C:$E,3,FALSE))</f>
        <v/>
      </c>
      <c r="H33" s="268" t="str">
        <f>IF(D33="","",IF(VLOOKUP(D33,'Tournament Details'!$C:$G,5,FALSE)="","",VLOOKUP(D33,'Tournament Details'!$C:$G,5,FALSE)))</f>
        <v/>
      </c>
      <c r="I33" s="269"/>
      <c r="J33" s="155" t="str">
        <f>IF(D33="","",IF(COUNTIF('Round 1'!$D:$D,B33)=1,IF(VLOOKUP(D33,'Round 1'!$D:$Q,14,FALSE)="",0,IF(A33&gt;=1,VLOOKUP(D33,'Round 1'!$D:$Q,14,FALSE),0)),0))</f>
        <v/>
      </c>
      <c r="K33" s="95" t="str">
        <f>IF(D33="","",IF(COUNTIF('Round 1'!$D:$D,B33)=1,IF(VLOOKUP(D33,'Round 1'!$D:$Q,14,FALSE)="",0,IF(A33&gt;=1,VLOOKUP(D33,'Round 1'!$D:$K,8,FALSE),0)),0))</f>
        <v/>
      </c>
      <c r="L33" s="96" t="str">
        <f>IF(D33="","",IF(COUNTIF('Round 2'!$D:$D,B33)=1,IF(VLOOKUP(D33,'Round 2'!$D:$Q,14,FALSE)="",0,IF(A33&gt;=2,VLOOKUP(D33,'Round 2'!$D:$Q,14,FALSE),0)),0))</f>
        <v/>
      </c>
      <c r="M33" s="97" t="str">
        <f>IF(D33="","",IF(COUNTIF('Round 2'!$D:$D,B33)=1,IF(VLOOKUP(D33,'Round 2'!$D:$Q,14,FALSE)="",0,IF(A33&gt;=2,VLOOKUP(D33,'Round 2'!$D:$K,8,FALSE),0)),0))</f>
        <v/>
      </c>
      <c r="N33" s="98" t="str">
        <f>IF(D33="","",IF(COUNTIF('Round 3'!$D:$D,B33)=1,IF(VLOOKUP(D33,'Round 3'!$D:$Q,14,FALSE)="",0,IF(A33&gt;=3,VLOOKUP(D33,'Round 3'!$D:$Q,14,FALSE),0)),0))</f>
        <v/>
      </c>
      <c r="O33" s="99" t="str">
        <f>IF(D33="","",IF(COUNTIF('Round 3'!$D:$D,B33)=1,IF(VLOOKUP(D33,'Round 3'!$D:$Q,14,FALSE)="",0,IF(A33&gt;=3,VLOOKUP(D33,'Round 3'!$D:$K,8,FALSE),0)),0))</f>
        <v/>
      </c>
      <c r="P33" s="100" t="str">
        <f>IF(D33="","",IF(COUNTIF('Round 4'!$D:$D,B33)=1,IF(VLOOKUP(D33,'Round 4'!$D:$Q,14,FALSE)="",0,IF(A33&gt;=4,VLOOKUP(D33,'Round 4'!$D:$Q,14,FALSE),0)),0))</f>
        <v/>
      </c>
      <c r="Q33" s="101" t="str">
        <f>IF(D33="","",IF(COUNTIF('Round 4'!$D:$D,B33)=1,IF(VLOOKUP(D33,'Round 4'!$D:$Q,14,FALSE)="",0,IF(A33&gt;=4,VLOOKUP(D33,'Round 4'!$D:$K,8,FALSE),0)),0))</f>
        <v/>
      </c>
      <c r="R33" s="102" t="str">
        <f>IF(D33="","",IF(COUNTIF('Round 5'!$D:$D,B33)=1,IF(VLOOKUP(D33,'Round 5'!$D:$Q,14,FALSE)="",0,IF(A33&gt;=5,VLOOKUP(D33,'Round 5'!$D:$Q,14,FALSE),0)),0))</f>
        <v/>
      </c>
      <c r="S33" s="103" t="str">
        <f>IF(D33="","",IF(COUNTIF('Round 5'!$D:$D,B33)=1,IF(VLOOKUP(D33,'Round 5'!$D:$Q,14,FALSE)="",0,IF(A33&gt;=5,VLOOKUP(D33,'Round 5'!$D:$K,8,FALSE),0)),0))</f>
        <v/>
      </c>
      <c r="T33" s="108" t="str">
        <f t="shared" si="0"/>
        <v/>
      </c>
      <c r="U33" s="137" t="str">
        <f t="shared" si="1"/>
        <v/>
      </c>
    </row>
    <row r="34" spans="1:21" x14ac:dyDescent="0.3">
      <c r="A34" s="82">
        <f>IF(D11="",0,'Tournament Details'!G4)</f>
        <v>0</v>
      </c>
      <c r="B34" s="90">
        <v>24</v>
      </c>
      <c r="C34" s="112" t="str">
        <f>IF('Tournament Details'!C30="","",B34)</f>
        <v/>
      </c>
      <c r="D34" s="105" t="str">
        <f>IF('Tournament Details'!C30="","",VLOOKUP(C34,'Tournament Details'!$B:$C,2,FALSE))</f>
        <v/>
      </c>
      <c r="E34" s="113" t="str">
        <f>IF(D34="","",VLOOKUP(D34,'Tournament Details'!$C:$H,6,FALSE))</f>
        <v/>
      </c>
      <c r="F34" s="113" t="str">
        <f>IF(D34="","",VLOOKUP(D34,'Tournament Details'!$C:$D,2,FALSE))</f>
        <v/>
      </c>
      <c r="G34" s="114" t="str">
        <f>IF(D34="","",VLOOKUP(D34,'Tournament Details'!$C:$E,3,FALSE))</f>
        <v/>
      </c>
      <c r="H34" s="268" t="str">
        <f>IF(D34="","",IF(VLOOKUP(D34,'Tournament Details'!$C:$G,5,FALSE)="","",VLOOKUP(D34,'Tournament Details'!$C:$G,5,FALSE)))</f>
        <v/>
      </c>
      <c r="I34" s="269"/>
      <c r="J34" s="155" t="str">
        <f>IF(D34="","",IF(COUNTIF('Round 1'!$D:$D,B34)=1,IF(VLOOKUP(D34,'Round 1'!$D:$Q,14,FALSE)="",0,IF(A34&gt;=1,VLOOKUP(D34,'Round 1'!$D:$Q,14,FALSE),0)),0))</f>
        <v/>
      </c>
      <c r="K34" s="95" t="str">
        <f>IF(D34="","",IF(COUNTIF('Round 1'!$D:$D,B34)=1,IF(VLOOKUP(D34,'Round 1'!$D:$Q,14,FALSE)="",0,IF(A34&gt;=1,VLOOKUP(D34,'Round 1'!$D:$K,8,FALSE),0)),0))</f>
        <v/>
      </c>
      <c r="L34" s="96" t="str">
        <f>IF(D34="","",IF(COUNTIF('Round 2'!$D:$D,B34)=1,IF(VLOOKUP(D34,'Round 2'!$D:$Q,14,FALSE)="",0,IF(A34&gt;=2,VLOOKUP(D34,'Round 2'!$D:$Q,14,FALSE),0)),0))</f>
        <v/>
      </c>
      <c r="M34" s="97" t="str">
        <f>IF(D34="","",IF(COUNTIF('Round 2'!$D:$D,B34)=1,IF(VLOOKUP(D34,'Round 2'!$D:$Q,14,FALSE)="",0,IF(A34&gt;=2,VLOOKUP(D34,'Round 2'!$D:$K,8,FALSE),0)),0))</f>
        <v/>
      </c>
      <c r="N34" s="98" t="str">
        <f>IF(D34="","",IF(COUNTIF('Round 3'!$D:$D,B34)=1,IF(VLOOKUP(D34,'Round 3'!$D:$Q,14,FALSE)="",0,IF(A34&gt;=3,VLOOKUP(D34,'Round 3'!$D:$Q,14,FALSE),0)),0))</f>
        <v/>
      </c>
      <c r="O34" s="99" t="str">
        <f>IF(D34="","",IF(COUNTIF('Round 3'!$D:$D,B34)=1,IF(VLOOKUP(D34,'Round 3'!$D:$Q,14,FALSE)="",0,IF(A34&gt;=3,VLOOKUP(D34,'Round 3'!$D:$K,8,FALSE),0)),0))</f>
        <v/>
      </c>
      <c r="P34" s="100" t="str">
        <f>IF(D34="","",IF(COUNTIF('Round 4'!$D:$D,B34)=1,IF(VLOOKUP(D34,'Round 4'!$D:$Q,14,FALSE)="",0,IF(A34&gt;=4,VLOOKUP(D34,'Round 4'!$D:$Q,14,FALSE),0)),0))</f>
        <v/>
      </c>
      <c r="Q34" s="101" t="str">
        <f>IF(D34="","",IF(COUNTIF('Round 4'!$D:$D,B34)=1,IF(VLOOKUP(D34,'Round 4'!$D:$Q,14,FALSE)="",0,IF(A34&gt;=4,VLOOKUP(D34,'Round 4'!$D:$K,8,FALSE),0)),0))</f>
        <v/>
      </c>
      <c r="R34" s="102" t="str">
        <f>IF(D34="","",IF(COUNTIF('Round 5'!$D:$D,B34)=1,IF(VLOOKUP(D34,'Round 5'!$D:$Q,14,FALSE)="",0,IF(A34&gt;=5,VLOOKUP(D34,'Round 5'!$D:$Q,14,FALSE),0)),0))</f>
        <v/>
      </c>
      <c r="S34" s="103" t="str">
        <f>IF(D34="","",IF(COUNTIF('Round 5'!$D:$D,B34)=1,IF(VLOOKUP(D34,'Round 5'!$D:$Q,14,FALSE)="",0,IF(A34&gt;=5,VLOOKUP(D34,'Round 5'!$D:$K,8,FALSE),0)),0))</f>
        <v/>
      </c>
      <c r="T34" s="108" t="str">
        <f t="shared" si="0"/>
        <v/>
      </c>
      <c r="U34" s="137" t="str">
        <f t="shared" si="1"/>
        <v/>
      </c>
    </row>
    <row r="35" spans="1:21" x14ac:dyDescent="0.3">
      <c r="A35" s="82">
        <f>IF(D11="",0,'Tournament Details'!G4)</f>
        <v>0</v>
      </c>
      <c r="B35" s="90">
        <v>25</v>
      </c>
      <c r="C35" s="112" t="str">
        <f>IF('Tournament Details'!C31="","",B35)</f>
        <v/>
      </c>
      <c r="D35" s="105" t="str">
        <f>IF('Tournament Details'!C31="","",VLOOKUP(C35,'Tournament Details'!$B:$C,2,FALSE))</f>
        <v/>
      </c>
      <c r="E35" s="113" t="str">
        <f>IF(D35="","",VLOOKUP(D35,'Tournament Details'!$C:$H,6,FALSE))</f>
        <v/>
      </c>
      <c r="F35" s="113" t="str">
        <f>IF(D35="","",VLOOKUP(D35,'Tournament Details'!$C:$D,2,FALSE))</f>
        <v/>
      </c>
      <c r="G35" s="114" t="str">
        <f>IF(D35="","",VLOOKUP(D35,'Tournament Details'!$C:$E,3,FALSE))</f>
        <v/>
      </c>
      <c r="H35" s="268" t="str">
        <f>IF(D35="","",IF(VLOOKUP(D35,'Tournament Details'!$C:$G,5,FALSE)="","",VLOOKUP(D35,'Tournament Details'!$C:$G,5,FALSE)))</f>
        <v/>
      </c>
      <c r="I35" s="269"/>
      <c r="J35" s="155" t="str">
        <f>IF(D35="","",IF(COUNTIF('Round 1'!$D:$D,B35)=1,IF(VLOOKUP(D35,'Round 1'!$D:$Q,14,FALSE)="",0,IF(A35&gt;=1,VLOOKUP(D35,'Round 1'!$D:$Q,14,FALSE),0)),0))</f>
        <v/>
      </c>
      <c r="K35" s="95" t="str">
        <f>IF(D35="","",IF(COUNTIF('Round 1'!$D:$D,B35)=1,IF(VLOOKUP(D35,'Round 1'!$D:$Q,14,FALSE)="",0,IF(A35&gt;=1,VLOOKUP(D35,'Round 1'!$D:$K,8,FALSE),0)),0))</f>
        <v/>
      </c>
      <c r="L35" s="96" t="str">
        <f>IF(D35="","",IF(COUNTIF('Round 2'!$D:$D,B35)=1,IF(VLOOKUP(D35,'Round 2'!$D:$Q,14,FALSE)="",0,IF(A35&gt;=2,VLOOKUP(D35,'Round 2'!$D:$Q,14,FALSE),0)),0))</f>
        <v/>
      </c>
      <c r="M35" s="97" t="str">
        <f>IF(D35="","",IF(COUNTIF('Round 2'!$D:$D,B35)=1,IF(VLOOKUP(D35,'Round 2'!$D:$Q,14,FALSE)="",0,IF(A35&gt;=2,VLOOKUP(D35,'Round 2'!$D:$K,8,FALSE),0)),0))</f>
        <v/>
      </c>
      <c r="N35" s="98" t="str">
        <f>IF(D35="","",IF(COUNTIF('Round 3'!$D:$D,B35)=1,IF(VLOOKUP(D35,'Round 3'!$D:$Q,14,FALSE)="",0,IF(A35&gt;=3,VLOOKUP(D35,'Round 3'!$D:$Q,14,FALSE),0)),0))</f>
        <v/>
      </c>
      <c r="O35" s="99" t="str">
        <f>IF(D35="","",IF(COUNTIF('Round 3'!$D:$D,B35)=1,IF(VLOOKUP(D35,'Round 3'!$D:$Q,14,FALSE)="",0,IF(A35&gt;=3,VLOOKUP(D35,'Round 3'!$D:$K,8,FALSE),0)),0))</f>
        <v/>
      </c>
      <c r="P35" s="100" t="str">
        <f>IF(D35="","",IF(COUNTIF('Round 4'!$D:$D,B35)=1,IF(VLOOKUP(D35,'Round 4'!$D:$Q,14,FALSE)="",0,IF(A35&gt;=4,VLOOKUP(D35,'Round 4'!$D:$Q,14,FALSE),0)),0))</f>
        <v/>
      </c>
      <c r="Q35" s="101" t="str">
        <f>IF(D35="","",IF(COUNTIF('Round 4'!$D:$D,B35)=1,IF(VLOOKUP(D35,'Round 4'!$D:$Q,14,FALSE)="",0,IF(A35&gt;=4,VLOOKUP(D35,'Round 4'!$D:$K,8,FALSE),0)),0))</f>
        <v/>
      </c>
      <c r="R35" s="102" t="str">
        <f>IF(D35="","",IF(COUNTIF('Round 5'!$D:$D,B35)=1,IF(VLOOKUP(D35,'Round 5'!$D:$Q,14,FALSE)="",0,IF(A35&gt;=5,VLOOKUP(D35,'Round 5'!$D:$Q,14,FALSE),0)),0))</f>
        <v/>
      </c>
      <c r="S35" s="103" t="str">
        <f>IF(D35="","",IF(COUNTIF('Round 5'!$D:$D,B35)=1,IF(VLOOKUP(D35,'Round 5'!$D:$Q,14,FALSE)="",0,IF(A35&gt;=5,VLOOKUP(D35,'Round 5'!$D:$K,8,FALSE),0)),0))</f>
        <v/>
      </c>
      <c r="T35" s="108" t="str">
        <f t="shared" si="0"/>
        <v/>
      </c>
      <c r="U35" s="137" t="str">
        <f t="shared" si="1"/>
        <v/>
      </c>
    </row>
    <row r="36" spans="1:21" x14ac:dyDescent="0.3">
      <c r="A36" s="82">
        <f>IF(D11="",0,'Tournament Details'!G4)</f>
        <v>0</v>
      </c>
      <c r="B36" s="90">
        <v>26</v>
      </c>
      <c r="C36" s="112" t="str">
        <f>IF('Tournament Details'!C32="","",B36)</f>
        <v/>
      </c>
      <c r="D36" s="105" t="str">
        <f>IF('Tournament Details'!C32="","",VLOOKUP(C36,'Tournament Details'!$B:$C,2,FALSE))</f>
        <v/>
      </c>
      <c r="E36" s="113" t="str">
        <f>IF(D36="","",VLOOKUP(D36,'Tournament Details'!$C:$H,6,FALSE))</f>
        <v/>
      </c>
      <c r="F36" s="113" t="str">
        <f>IF(D36="","",VLOOKUP(D36,'Tournament Details'!$C:$D,2,FALSE))</f>
        <v/>
      </c>
      <c r="G36" s="114" t="str">
        <f>IF(D36="","",VLOOKUP(D36,'Tournament Details'!$C:$E,3,FALSE))</f>
        <v/>
      </c>
      <c r="H36" s="268" t="str">
        <f>IF(D36="","",IF(VLOOKUP(D36,'Tournament Details'!$C:$G,5,FALSE)="","",VLOOKUP(D36,'Tournament Details'!$C:$G,5,FALSE)))</f>
        <v/>
      </c>
      <c r="I36" s="269"/>
      <c r="J36" s="155" t="str">
        <f>IF(D36="","",IF(COUNTIF('Round 1'!$D:$D,B36)=1,IF(VLOOKUP(D36,'Round 1'!$D:$Q,14,FALSE)="",0,IF(A36&gt;=1,VLOOKUP(D36,'Round 1'!$D:$Q,14,FALSE),0)),0))</f>
        <v/>
      </c>
      <c r="K36" s="95" t="str">
        <f>IF(D36="","",IF(COUNTIF('Round 1'!$D:$D,B36)=1,IF(VLOOKUP(D36,'Round 1'!$D:$Q,14,FALSE)="",0,IF(A36&gt;=1,VLOOKUP(D36,'Round 1'!$D:$K,8,FALSE),0)),0))</f>
        <v/>
      </c>
      <c r="L36" s="96" t="str">
        <f>IF(D36="","",IF(COUNTIF('Round 2'!$D:$D,B36)=1,IF(VLOOKUP(D36,'Round 2'!$D:$Q,14,FALSE)="",0,IF(A36&gt;=2,VLOOKUP(D36,'Round 2'!$D:$Q,14,FALSE),0)),0))</f>
        <v/>
      </c>
      <c r="M36" s="97" t="str">
        <f>IF(D36="","",IF(COUNTIF('Round 2'!$D:$D,B36)=1,IF(VLOOKUP(D36,'Round 2'!$D:$Q,14,FALSE)="",0,IF(A36&gt;=2,VLOOKUP(D36,'Round 2'!$D:$K,8,FALSE),0)),0))</f>
        <v/>
      </c>
      <c r="N36" s="98" t="str">
        <f>IF(D36="","",IF(COUNTIF('Round 3'!$D:$D,B36)=1,IF(VLOOKUP(D36,'Round 3'!$D:$Q,14,FALSE)="",0,IF(A36&gt;=3,VLOOKUP(D36,'Round 3'!$D:$Q,14,FALSE),0)),0))</f>
        <v/>
      </c>
      <c r="O36" s="99" t="str">
        <f>IF(D36="","",IF(COUNTIF('Round 3'!$D:$D,B36)=1,IF(VLOOKUP(D36,'Round 3'!$D:$Q,14,FALSE)="",0,IF(A36&gt;=3,VLOOKUP(D36,'Round 3'!$D:$K,8,FALSE),0)),0))</f>
        <v/>
      </c>
      <c r="P36" s="100" t="str">
        <f>IF(D36="","",IF(COUNTIF('Round 4'!$D:$D,B36)=1,IF(VLOOKUP(D36,'Round 4'!$D:$Q,14,FALSE)="",0,IF(A36&gt;=4,VLOOKUP(D36,'Round 4'!$D:$Q,14,FALSE),0)),0))</f>
        <v/>
      </c>
      <c r="Q36" s="101" t="str">
        <f>IF(D36="","",IF(COUNTIF('Round 4'!$D:$D,B36)=1,IF(VLOOKUP(D36,'Round 4'!$D:$Q,14,FALSE)="",0,IF(A36&gt;=4,VLOOKUP(D36,'Round 4'!$D:$K,8,FALSE),0)),0))</f>
        <v/>
      </c>
      <c r="R36" s="102" t="str">
        <f>IF(D36="","",IF(COUNTIF('Round 5'!$D:$D,B36)=1,IF(VLOOKUP(D36,'Round 5'!$D:$Q,14,FALSE)="",0,IF(A36&gt;=5,VLOOKUP(D36,'Round 5'!$D:$Q,14,FALSE),0)),0))</f>
        <v/>
      </c>
      <c r="S36" s="103" t="str">
        <f>IF(D36="","",IF(COUNTIF('Round 5'!$D:$D,B36)=1,IF(VLOOKUP(D36,'Round 5'!$D:$Q,14,FALSE)="",0,IF(A36&gt;=5,VLOOKUP(D36,'Round 5'!$D:$K,8,FALSE),0)),0))</f>
        <v/>
      </c>
      <c r="T36" s="108" t="str">
        <f t="shared" si="0"/>
        <v/>
      </c>
      <c r="U36" s="137" t="str">
        <f t="shared" si="1"/>
        <v/>
      </c>
    </row>
    <row r="37" spans="1:21" x14ac:dyDescent="0.3">
      <c r="A37" s="82">
        <f>IF(D11="",0,'Tournament Details'!G4)</f>
        <v>0</v>
      </c>
      <c r="B37" s="90">
        <v>27</v>
      </c>
      <c r="C37" s="112" t="str">
        <f>IF('Tournament Details'!C33="","",B37)</f>
        <v/>
      </c>
      <c r="D37" s="105" t="str">
        <f>IF('Tournament Details'!C33="","",VLOOKUP(C37,'Tournament Details'!$B:$C,2,FALSE))</f>
        <v/>
      </c>
      <c r="E37" s="113" t="str">
        <f>IF(D37="","",VLOOKUP(D37,'Tournament Details'!$C:$H,6,FALSE))</f>
        <v/>
      </c>
      <c r="F37" s="113" t="str">
        <f>IF(D37="","",VLOOKUP(D37,'Tournament Details'!$C:$D,2,FALSE))</f>
        <v/>
      </c>
      <c r="G37" s="114" t="str">
        <f>IF(D37="","",VLOOKUP(D37,'Tournament Details'!$C:$E,3,FALSE))</f>
        <v/>
      </c>
      <c r="H37" s="268" t="str">
        <f>IF(D37="","",IF(VLOOKUP(D37,'Tournament Details'!$C:$G,5,FALSE)="","",VLOOKUP(D37,'Tournament Details'!$C:$G,5,FALSE)))</f>
        <v/>
      </c>
      <c r="I37" s="269"/>
      <c r="J37" s="155" t="str">
        <f>IF(D37="","",IF(COUNTIF('Round 1'!$D:$D,B37)=1,IF(VLOOKUP(D37,'Round 1'!$D:$Q,14,FALSE)="",0,IF(A37&gt;=1,VLOOKUP(D37,'Round 1'!$D:$Q,14,FALSE),0)),0))</f>
        <v/>
      </c>
      <c r="K37" s="95" t="str">
        <f>IF(D37="","",IF(COUNTIF('Round 1'!$D:$D,B37)=1,IF(VLOOKUP(D37,'Round 1'!$D:$Q,14,FALSE)="",0,IF(A37&gt;=1,VLOOKUP(D37,'Round 1'!$D:$K,8,FALSE),0)),0))</f>
        <v/>
      </c>
      <c r="L37" s="96" t="str">
        <f>IF(D37="","",IF(COUNTIF('Round 2'!$D:$D,B37)=1,IF(VLOOKUP(D37,'Round 2'!$D:$Q,14,FALSE)="",0,IF(A37&gt;=2,VLOOKUP(D37,'Round 2'!$D:$Q,14,FALSE),0)),0))</f>
        <v/>
      </c>
      <c r="M37" s="97" t="str">
        <f>IF(D37="","",IF(COUNTIF('Round 2'!$D:$D,B37)=1,IF(VLOOKUP(D37,'Round 2'!$D:$Q,14,FALSE)="",0,IF(A37&gt;=2,VLOOKUP(D37,'Round 2'!$D:$K,8,FALSE),0)),0))</f>
        <v/>
      </c>
      <c r="N37" s="98" t="str">
        <f>IF(D37="","",IF(COUNTIF('Round 3'!$D:$D,B37)=1,IF(VLOOKUP(D37,'Round 3'!$D:$Q,14,FALSE)="",0,IF(A37&gt;=3,VLOOKUP(D37,'Round 3'!$D:$Q,14,FALSE),0)),0))</f>
        <v/>
      </c>
      <c r="O37" s="99" t="str">
        <f>IF(D37="","",IF(COUNTIF('Round 3'!$D:$D,B37)=1,IF(VLOOKUP(D37,'Round 3'!$D:$Q,14,FALSE)="",0,IF(A37&gt;=3,VLOOKUP(D37,'Round 3'!$D:$K,8,FALSE),0)),0))</f>
        <v/>
      </c>
      <c r="P37" s="100" t="str">
        <f>IF(D37="","",IF(COUNTIF('Round 4'!$D:$D,B37)=1,IF(VLOOKUP(D37,'Round 4'!$D:$Q,14,FALSE)="",0,IF(A37&gt;=4,VLOOKUP(D37,'Round 4'!$D:$Q,14,FALSE),0)),0))</f>
        <v/>
      </c>
      <c r="Q37" s="101" t="str">
        <f>IF(D37="","",IF(COUNTIF('Round 4'!$D:$D,B37)=1,IF(VLOOKUP(D37,'Round 4'!$D:$Q,14,FALSE)="",0,IF(A37&gt;=4,VLOOKUP(D37,'Round 4'!$D:$K,8,FALSE),0)),0))</f>
        <v/>
      </c>
      <c r="R37" s="102" t="str">
        <f>IF(D37="","",IF(COUNTIF('Round 5'!$D:$D,B37)=1,IF(VLOOKUP(D37,'Round 5'!$D:$Q,14,FALSE)="",0,IF(A37&gt;=5,VLOOKUP(D37,'Round 5'!$D:$Q,14,FALSE),0)),0))</f>
        <v/>
      </c>
      <c r="S37" s="103" t="str">
        <f>IF(D37="","",IF(COUNTIF('Round 5'!$D:$D,B37)=1,IF(VLOOKUP(D37,'Round 5'!$D:$Q,14,FALSE)="",0,IF(A37&gt;=5,VLOOKUP(D37,'Round 5'!$D:$K,8,FALSE),0)),0))</f>
        <v/>
      </c>
      <c r="T37" s="108" t="str">
        <f t="shared" si="0"/>
        <v/>
      </c>
      <c r="U37" s="137" t="str">
        <f t="shared" si="1"/>
        <v/>
      </c>
    </row>
    <row r="38" spans="1:21" x14ac:dyDescent="0.3">
      <c r="A38" s="82">
        <f>IF(D11="",0,'Tournament Details'!G4)</f>
        <v>0</v>
      </c>
      <c r="B38" s="90">
        <v>28</v>
      </c>
      <c r="C38" s="112" t="str">
        <f>IF('Tournament Details'!C34="","",B38)</f>
        <v/>
      </c>
      <c r="D38" s="105" t="str">
        <f>IF('Tournament Details'!C34="","",VLOOKUP(C38,'Tournament Details'!$B:$C,2,FALSE))</f>
        <v/>
      </c>
      <c r="E38" s="113" t="str">
        <f>IF(D38="","",VLOOKUP(D38,'Tournament Details'!$C:$H,6,FALSE))</f>
        <v/>
      </c>
      <c r="F38" s="113" t="str">
        <f>IF(D38="","",VLOOKUP(D38,'Tournament Details'!$C:$D,2,FALSE))</f>
        <v/>
      </c>
      <c r="G38" s="114" t="str">
        <f>IF(D38="","",VLOOKUP(D38,'Tournament Details'!$C:$E,3,FALSE))</f>
        <v/>
      </c>
      <c r="H38" s="268" t="str">
        <f>IF(D38="","",IF(VLOOKUP(D38,'Tournament Details'!$C:$G,5,FALSE)="","",VLOOKUP(D38,'Tournament Details'!$C:$G,5,FALSE)))</f>
        <v/>
      </c>
      <c r="I38" s="269"/>
      <c r="J38" s="155" t="str">
        <f>IF(D38="","",IF(COUNTIF('Round 1'!$D:$D,B38)=1,IF(VLOOKUP(D38,'Round 1'!$D:$Q,14,FALSE)="",0,IF(A38&gt;=1,VLOOKUP(D38,'Round 1'!$D:$Q,14,FALSE),0)),0))</f>
        <v/>
      </c>
      <c r="K38" s="95" t="str">
        <f>IF(D38="","",IF(COUNTIF('Round 1'!$D:$D,B38)=1,IF(VLOOKUP(D38,'Round 1'!$D:$Q,14,FALSE)="",0,IF(A38&gt;=1,VLOOKUP(D38,'Round 1'!$D:$K,8,FALSE),0)),0))</f>
        <v/>
      </c>
      <c r="L38" s="96" t="str">
        <f>IF(D38="","",IF(COUNTIF('Round 2'!$D:$D,B38)=1,IF(VLOOKUP(D38,'Round 2'!$D:$Q,14,FALSE)="",0,IF(A38&gt;=2,VLOOKUP(D38,'Round 2'!$D:$Q,14,FALSE),0)),0))</f>
        <v/>
      </c>
      <c r="M38" s="97" t="str">
        <f>IF(D38="","",IF(COUNTIF('Round 2'!$D:$D,B38)=1,IF(VLOOKUP(D38,'Round 2'!$D:$Q,14,FALSE)="",0,IF(A38&gt;=2,VLOOKUP(D38,'Round 2'!$D:$K,8,FALSE),0)),0))</f>
        <v/>
      </c>
      <c r="N38" s="98" t="str">
        <f>IF(D38="","",IF(COUNTIF('Round 3'!$D:$D,B38)=1,IF(VLOOKUP(D38,'Round 3'!$D:$Q,14,FALSE)="",0,IF(A38&gt;=3,VLOOKUP(D38,'Round 3'!$D:$Q,14,FALSE),0)),0))</f>
        <v/>
      </c>
      <c r="O38" s="99" t="str">
        <f>IF(D38="","",IF(COUNTIF('Round 3'!$D:$D,B38)=1,IF(VLOOKUP(D38,'Round 3'!$D:$Q,14,FALSE)="",0,IF(A38&gt;=3,VLOOKUP(D38,'Round 3'!$D:$K,8,FALSE),0)),0))</f>
        <v/>
      </c>
      <c r="P38" s="100" t="str">
        <f>IF(D38="","",IF(COUNTIF('Round 4'!$D:$D,B38)=1,IF(VLOOKUP(D38,'Round 4'!$D:$Q,14,FALSE)="",0,IF(A38&gt;=4,VLOOKUP(D38,'Round 4'!$D:$Q,14,FALSE),0)),0))</f>
        <v/>
      </c>
      <c r="Q38" s="101" t="str">
        <f>IF(D38="","",IF(COUNTIF('Round 4'!$D:$D,B38)=1,IF(VLOOKUP(D38,'Round 4'!$D:$Q,14,FALSE)="",0,IF(A38&gt;=4,VLOOKUP(D38,'Round 4'!$D:$K,8,FALSE),0)),0))</f>
        <v/>
      </c>
      <c r="R38" s="102" t="str">
        <f>IF(D38="","",IF(COUNTIF('Round 5'!$D:$D,B38)=1,IF(VLOOKUP(D38,'Round 5'!$D:$Q,14,FALSE)="",0,IF(A38&gt;=5,VLOOKUP(D38,'Round 5'!$D:$Q,14,FALSE),0)),0))</f>
        <v/>
      </c>
      <c r="S38" s="103" t="str">
        <f>IF(D38="","",IF(COUNTIF('Round 5'!$D:$D,B38)=1,IF(VLOOKUP(D38,'Round 5'!$D:$Q,14,FALSE)="",0,IF(A38&gt;=5,VLOOKUP(D38,'Round 5'!$D:$K,8,FALSE),0)),0))</f>
        <v/>
      </c>
      <c r="T38" s="108" t="str">
        <f t="shared" si="0"/>
        <v/>
      </c>
      <c r="U38" s="137" t="str">
        <f t="shared" si="1"/>
        <v/>
      </c>
    </row>
    <row r="39" spans="1:21" x14ac:dyDescent="0.3">
      <c r="A39" s="82">
        <f>IF(D11="",0,'Tournament Details'!G4)</f>
        <v>0</v>
      </c>
      <c r="B39" s="90">
        <v>29</v>
      </c>
      <c r="C39" s="112" t="str">
        <f>IF('Tournament Details'!C35="","",B39)</f>
        <v/>
      </c>
      <c r="D39" s="105" t="str">
        <f>IF('Tournament Details'!C35="","",VLOOKUP(C39,'Tournament Details'!$B:$C,2,FALSE))</f>
        <v/>
      </c>
      <c r="E39" s="113" t="str">
        <f>IF(D39="","",VLOOKUP(D39,'Tournament Details'!$C:$H,6,FALSE))</f>
        <v/>
      </c>
      <c r="F39" s="113" t="str">
        <f>IF(D39="","",VLOOKUP(D39,'Tournament Details'!$C:$D,2,FALSE))</f>
        <v/>
      </c>
      <c r="G39" s="114" t="str">
        <f>IF(D39="","",VLOOKUP(D39,'Tournament Details'!$C:$E,3,FALSE))</f>
        <v/>
      </c>
      <c r="H39" s="268" t="str">
        <f>IF(D39="","",IF(VLOOKUP(D39,'Tournament Details'!$C:$G,5,FALSE)="","",VLOOKUP(D39,'Tournament Details'!$C:$G,5,FALSE)))</f>
        <v/>
      </c>
      <c r="I39" s="269"/>
      <c r="J39" s="155" t="str">
        <f>IF(D39="","",IF(COUNTIF('Round 1'!$D:$D,B39)=1,IF(VLOOKUP(D39,'Round 1'!$D:$Q,14,FALSE)="",0,IF(A39&gt;=1,VLOOKUP(D39,'Round 1'!$D:$Q,14,FALSE),0)),0))</f>
        <v/>
      </c>
      <c r="K39" s="95" t="str">
        <f>IF(D39="","",IF(COUNTIF('Round 1'!$D:$D,B39)=1,IF(VLOOKUP(D39,'Round 1'!$D:$Q,14,FALSE)="",0,IF(A39&gt;=1,VLOOKUP(D39,'Round 1'!$D:$K,8,FALSE),0)),0))</f>
        <v/>
      </c>
      <c r="L39" s="96" t="str">
        <f>IF(D39="","",IF(COUNTIF('Round 2'!$D:$D,B39)=1,IF(VLOOKUP(D39,'Round 2'!$D:$Q,14,FALSE)="",0,IF(A39&gt;=2,VLOOKUP(D39,'Round 2'!$D:$Q,14,FALSE),0)),0))</f>
        <v/>
      </c>
      <c r="M39" s="97" t="str">
        <f>IF(D39="","",IF(COUNTIF('Round 2'!$D:$D,B39)=1,IF(VLOOKUP(D39,'Round 2'!$D:$Q,14,FALSE)="",0,IF(A39&gt;=2,VLOOKUP(D39,'Round 2'!$D:$K,8,FALSE),0)),0))</f>
        <v/>
      </c>
      <c r="N39" s="98" t="str">
        <f>IF(D39="","",IF(COUNTIF('Round 3'!$D:$D,B39)=1,IF(VLOOKUP(D39,'Round 3'!$D:$Q,14,FALSE)="",0,IF(A39&gt;=3,VLOOKUP(D39,'Round 3'!$D:$Q,14,FALSE),0)),0))</f>
        <v/>
      </c>
      <c r="O39" s="99" t="str">
        <f>IF(D39="","",IF(COUNTIF('Round 3'!$D:$D,B39)=1,IF(VLOOKUP(D39,'Round 3'!$D:$Q,14,FALSE)="",0,IF(A39&gt;=3,VLOOKUP(D39,'Round 3'!$D:$K,8,FALSE),0)),0))</f>
        <v/>
      </c>
      <c r="P39" s="100" t="str">
        <f>IF(D39="","",IF(COUNTIF('Round 4'!$D:$D,B39)=1,IF(VLOOKUP(D39,'Round 4'!$D:$Q,14,FALSE)="",0,IF(A39&gt;=4,VLOOKUP(D39,'Round 4'!$D:$Q,14,FALSE),0)),0))</f>
        <v/>
      </c>
      <c r="Q39" s="101" t="str">
        <f>IF(D39="","",IF(COUNTIF('Round 4'!$D:$D,B39)=1,IF(VLOOKUP(D39,'Round 4'!$D:$Q,14,FALSE)="",0,IF(A39&gt;=4,VLOOKUP(D39,'Round 4'!$D:$K,8,FALSE),0)),0))</f>
        <v/>
      </c>
      <c r="R39" s="102" t="str">
        <f>IF(D39="","",IF(COUNTIF('Round 5'!$D:$D,B39)=1,IF(VLOOKUP(D39,'Round 5'!$D:$Q,14,FALSE)="",0,IF(A39&gt;=5,VLOOKUP(D39,'Round 5'!$D:$Q,14,FALSE),0)),0))</f>
        <v/>
      </c>
      <c r="S39" s="103" t="str">
        <f>IF(D39="","",IF(COUNTIF('Round 5'!$D:$D,B39)=1,IF(VLOOKUP(D39,'Round 5'!$D:$Q,14,FALSE)="",0,IF(A39&gt;=5,VLOOKUP(D39,'Round 5'!$D:$K,8,FALSE),0)),0))</f>
        <v/>
      </c>
      <c r="T39" s="108" t="str">
        <f t="shared" si="0"/>
        <v/>
      </c>
      <c r="U39" s="137" t="str">
        <f t="shared" si="1"/>
        <v/>
      </c>
    </row>
    <row r="40" spans="1:21" x14ac:dyDescent="0.3">
      <c r="A40" s="82">
        <f>IF(D11="",0,'Tournament Details'!G4)</f>
        <v>0</v>
      </c>
      <c r="B40" s="90">
        <v>30</v>
      </c>
      <c r="C40" s="112" t="str">
        <f>IF('Tournament Details'!C36="","",B40)</f>
        <v/>
      </c>
      <c r="D40" s="105" t="str">
        <f>IF('Tournament Details'!C36="","",VLOOKUP(C40,'Tournament Details'!$B:$C,2,FALSE))</f>
        <v/>
      </c>
      <c r="E40" s="113" t="str">
        <f>IF(D40="","",VLOOKUP(D40,'Tournament Details'!$C:$H,6,FALSE))</f>
        <v/>
      </c>
      <c r="F40" s="113" t="str">
        <f>IF(D40="","",VLOOKUP(D40,'Tournament Details'!$C:$D,2,FALSE))</f>
        <v/>
      </c>
      <c r="G40" s="114" t="str">
        <f>IF(D40="","",VLOOKUP(D40,'Tournament Details'!$C:$E,3,FALSE))</f>
        <v/>
      </c>
      <c r="H40" s="268" t="str">
        <f>IF(D40="","",IF(VLOOKUP(D40,'Tournament Details'!$C:$G,5,FALSE)="","",VLOOKUP(D40,'Tournament Details'!$C:$G,5,FALSE)))</f>
        <v/>
      </c>
      <c r="I40" s="269"/>
      <c r="J40" s="155" t="str">
        <f>IF(D40="","",IF(COUNTIF('Round 1'!$D:$D,B40)=1,IF(VLOOKUP(D40,'Round 1'!$D:$Q,14,FALSE)="",0,IF(A40&gt;=1,VLOOKUP(D40,'Round 1'!$D:$Q,14,FALSE),0)),0))</f>
        <v/>
      </c>
      <c r="K40" s="95" t="str">
        <f>IF(D40="","",IF(COUNTIF('Round 1'!$D:$D,B40)=1,IF(VLOOKUP(D40,'Round 1'!$D:$Q,14,FALSE)="",0,IF(A40&gt;=1,VLOOKUP(D40,'Round 1'!$D:$K,8,FALSE),0)),0))</f>
        <v/>
      </c>
      <c r="L40" s="96" t="str">
        <f>IF(D40="","",IF(COUNTIF('Round 2'!$D:$D,B40)=1,IF(VLOOKUP(D40,'Round 2'!$D:$Q,14,FALSE)="",0,IF(A40&gt;=2,VLOOKUP(D40,'Round 2'!$D:$Q,14,FALSE),0)),0))</f>
        <v/>
      </c>
      <c r="M40" s="97" t="str">
        <f>IF(D40="","",IF(COUNTIF('Round 2'!$D:$D,B40)=1,IF(VLOOKUP(D40,'Round 2'!$D:$Q,14,FALSE)="",0,IF(A40&gt;=2,VLOOKUP(D40,'Round 2'!$D:$K,8,FALSE),0)),0))</f>
        <v/>
      </c>
      <c r="N40" s="98" t="str">
        <f>IF(D40="","",IF(COUNTIF('Round 3'!$D:$D,B40)=1,IF(VLOOKUP(D40,'Round 3'!$D:$Q,14,FALSE)="",0,IF(A40&gt;=3,VLOOKUP(D40,'Round 3'!$D:$Q,14,FALSE),0)),0))</f>
        <v/>
      </c>
      <c r="O40" s="99" t="str">
        <f>IF(D40="","",IF(COUNTIF('Round 3'!$D:$D,B40)=1,IF(VLOOKUP(D40,'Round 3'!$D:$Q,14,FALSE)="",0,IF(A40&gt;=3,VLOOKUP(D40,'Round 3'!$D:$K,8,FALSE),0)),0))</f>
        <v/>
      </c>
      <c r="P40" s="100" t="str">
        <f>IF(D40="","",IF(COUNTIF('Round 4'!$D:$D,B40)=1,IF(VLOOKUP(D40,'Round 4'!$D:$Q,14,FALSE)="",0,IF(A40&gt;=4,VLOOKUP(D40,'Round 4'!$D:$Q,14,FALSE),0)),0))</f>
        <v/>
      </c>
      <c r="Q40" s="101" t="str">
        <f>IF(D40="","",IF(COUNTIF('Round 4'!$D:$D,B40)=1,IF(VLOOKUP(D40,'Round 4'!$D:$Q,14,FALSE)="",0,IF(A40&gt;=4,VLOOKUP(D40,'Round 4'!$D:$K,8,FALSE),0)),0))</f>
        <v/>
      </c>
      <c r="R40" s="102" t="str">
        <f>IF(D40="","",IF(COUNTIF('Round 5'!$D:$D,B40)=1,IF(VLOOKUP(D40,'Round 5'!$D:$Q,14,FALSE)="",0,IF(A40&gt;=5,VLOOKUP(D40,'Round 5'!$D:$Q,14,FALSE),0)),0))</f>
        <v/>
      </c>
      <c r="S40" s="103" t="str">
        <f>IF(D40="","",IF(COUNTIF('Round 5'!$D:$D,B40)=1,IF(VLOOKUP(D40,'Round 5'!$D:$Q,14,FALSE)="",0,IF(A40&gt;=5,VLOOKUP(D40,'Round 5'!$D:$K,8,FALSE),0)),0))</f>
        <v/>
      </c>
      <c r="T40" s="108" t="str">
        <f t="shared" si="0"/>
        <v/>
      </c>
      <c r="U40" s="137" t="str">
        <f t="shared" si="1"/>
        <v/>
      </c>
    </row>
    <row r="41" spans="1:21" x14ac:dyDescent="0.3">
      <c r="A41" s="82">
        <f>IF(D11="",0,'Tournament Details'!G4)</f>
        <v>0</v>
      </c>
      <c r="B41" s="90">
        <v>31</v>
      </c>
      <c r="C41" s="112" t="str">
        <f>IF('Tournament Details'!C37="","",B41)</f>
        <v/>
      </c>
      <c r="D41" s="105" t="str">
        <f>IF('Tournament Details'!C37="","",VLOOKUP(C41,'Tournament Details'!$B:$C,2,FALSE))</f>
        <v/>
      </c>
      <c r="E41" s="113" t="str">
        <f>IF(D41="","",VLOOKUP(D41,'Tournament Details'!$C:$H,6,FALSE))</f>
        <v/>
      </c>
      <c r="F41" s="113" t="str">
        <f>IF(D41="","",VLOOKUP(D41,'Tournament Details'!$C:$D,2,FALSE))</f>
        <v/>
      </c>
      <c r="G41" s="114" t="str">
        <f>IF(D41="","",VLOOKUP(D41,'Tournament Details'!$C:$E,3,FALSE))</f>
        <v/>
      </c>
      <c r="H41" s="268" t="str">
        <f>IF(D41="","",IF(VLOOKUP(D41,'Tournament Details'!$C:$G,5,FALSE)="","",VLOOKUP(D41,'Tournament Details'!$C:$G,5,FALSE)))</f>
        <v/>
      </c>
      <c r="I41" s="269"/>
      <c r="J41" s="155" t="str">
        <f>IF(D41="","",IF(COUNTIF('Round 1'!$D:$D,B41)=1,IF(VLOOKUP(D41,'Round 1'!$D:$Q,14,FALSE)="",0,IF(A41&gt;=1,VLOOKUP(D41,'Round 1'!$D:$Q,14,FALSE),0)),0))</f>
        <v/>
      </c>
      <c r="K41" s="95" t="str">
        <f>IF(D41="","",IF(COUNTIF('Round 1'!$D:$D,B41)=1,IF(VLOOKUP(D41,'Round 1'!$D:$Q,14,FALSE)="",0,IF(A41&gt;=1,VLOOKUP(D41,'Round 1'!$D:$K,8,FALSE),0)),0))</f>
        <v/>
      </c>
      <c r="L41" s="96" t="str">
        <f>IF(D41="","",IF(COUNTIF('Round 2'!$D:$D,B41)=1,IF(VLOOKUP(D41,'Round 2'!$D:$Q,14,FALSE)="",0,IF(A41&gt;=2,VLOOKUP(D41,'Round 2'!$D:$Q,14,FALSE),0)),0))</f>
        <v/>
      </c>
      <c r="M41" s="97" t="str">
        <f>IF(D41="","",IF(COUNTIF('Round 2'!$D:$D,B41)=1,IF(VLOOKUP(D41,'Round 2'!$D:$Q,14,FALSE)="",0,IF(A41&gt;=2,VLOOKUP(D41,'Round 2'!$D:$K,8,FALSE),0)),0))</f>
        <v/>
      </c>
      <c r="N41" s="98" t="str">
        <f>IF(D41="","",IF(COUNTIF('Round 3'!$D:$D,B41)=1,IF(VLOOKUP(D41,'Round 3'!$D:$Q,14,FALSE)="",0,IF(A41&gt;=3,VLOOKUP(D41,'Round 3'!$D:$Q,14,FALSE),0)),0))</f>
        <v/>
      </c>
      <c r="O41" s="99" t="str">
        <f>IF(D41="","",IF(COUNTIF('Round 3'!$D:$D,B41)=1,IF(VLOOKUP(D41,'Round 3'!$D:$Q,14,FALSE)="",0,IF(A41&gt;=3,VLOOKUP(D41,'Round 3'!$D:$K,8,FALSE),0)),0))</f>
        <v/>
      </c>
      <c r="P41" s="100" t="str">
        <f>IF(D41="","",IF(COUNTIF('Round 4'!$D:$D,B41)=1,IF(VLOOKUP(D41,'Round 4'!$D:$Q,14,FALSE)="",0,IF(A41&gt;=4,VLOOKUP(D41,'Round 4'!$D:$Q,14,FALSE),0)),0))</f>
        <v/>
      </c>
      <c r="Q41" s="101" t="str">
        <f>IF(D41="","",IF(COUNTIF('Round 4'!$D:$D,B41)=1,IF(VLOOKUP(D41,'Round 4'!$D:$Q,14,FALSE)="",0,IF(A41&gt;=4,VLOOKUP(D41,'Round 4'!$D:$K,8,FALSE),0)),0))</f>
        <v/>
      </c>
      <c r="R41" s="102" t="str">
        <f>IF(D41="","",IF(COUNTIF('Round 5'!$D:$D,B41)=1,IF(VLOOKUP(D41,'Round 5'!$D:$Q,14,FALSE)="",0,IF(A41&gt;=5,VLOOKUP(D41,'Round 5'!$D:$Q,14,FALSE),0)),0))</f>
        <v/>
      </c>
      <c r="S41" s="103" t="str">
        <f>IF(D41="","",IF(COUNTIF('Round 5'!$D:$D,B41)=1,IF(VLOOKUP(D41,'Round 5'!$D:$Q,14,FALSE)="",0,IF(A41&gt;=5,VLOOKUP(D41,'Round 5'!$D:$K,8,FALSE),0)),0))</f>
        <v/>
      </c>
      <c r="T41" s="108" t="str">
        <f t="shared" si="0"/>
        <v/>
      </c>
      <c r="U41" s="137" t="str">
        <f t="shared" si="1"/>
        <v/>
      </c>
    </row>
    <row r="42" spans="1:21" x14ac:dyDescent="0.3">
      <c r="A42" s="82">
        <f>IF(D11="",0,'Tournament Details'!G4)</f>
        <v>0</v>
      </c>
      <c r="B42" s="90">
        <v>32</v>
      </c>
      <c r="C42" s="112" t="str">
        <f>IF('Tournament Details'!C38="","",B42)</f>
        <v/>
      </c>
      <c r="D42" s="105" t="str">
        <f>IF('Tournament Details'!C38="","",VLOOKUP(C42,'Tournament Details'!$B:$C,2,FALSE))</f>
        <v/>
      </c>
      <c r="E42" s="113" t="str">
        <f>IF(D42="","",VLOOKUP(D42,'Tournament Details'!$C:$H,6,FALSE))</f>
        <v/>
      </c>
      <c r="F42" s="113" t="str">
        <f>IF(D42="","",VLOOKUP(D42,'Tournament Details'!$C:$D,2,FALSE))</f>
        <v/>
      </c>
      <c r="G42" s="114" t="str">
        <f>IF(D42="","",VLOOKUP(D42,'Tournament Details'!$C:$E,3,FALSE))</f>
        <v/>
      </c>
      <c r="H42" s="268" t="str">
        <f>IF(D42="","",IF(VLOOKUP(D42,'Tournament Details'!$C:$G,5,FALSE)="","",VLOOKUP(D42,'Tournament Details'!$C:$G,5,FALSE)))</f>
        <v/>
      </c>
      <c r="I42" s="269"/>
      <c r="J42" s="155" t="str">
        <f>IF(D42="","",IF(COUNTIF('Round 1'!$D:$D,B42)=1,IF(VLOOKUP(D42,'Round 1'!$D:$Q,14,FALSE)="",0,IF(A42&gt;=1,VLOOKUP(D42,'Round 1'!$D:$Q,14,FALSE),0)),0))</f>
        <v/>
      </c>
      <c r="K42" s="95" t="str">
        <f>IF(D42="","",IF(COUNTIF('Round 1'!$D:$D,B42)=1,IF(VLOOKUP(D42,'Round 1'!$D:$Q,14,FALSE)="",0,IF(A42&gt;=1,VLOOKUP(D42,'Round 1'!$D:$K,8,FALSE),0)),0))</f>
        <v/>
      </c>
      <c r="L42" s="96" t="str">
        <f>IF(D42="","",IF(COUNTIF('Round 2'!$D:$D,B42)=1,IF(VLOOKUP(D42,'Round 2'!$D:$Q,14,FALSE)="",0,IF(A42&gt;=2,VLOOKUP(D42,'Round 2'!$D:$Q,14,FALSE),0)),0))</f>
        <v/>
      </c>
      <c r="M42" s="97" t="str">
        <f>IF(D42="","",IF(COUNTIF('Round 2'!$D:$D,B42)=1,IF(VLOOKUP(D42,'Round 2'!$D:$Q,14,FALSE)="",0,IF(A42&gt;=2,VLOOKUP(D42,'Round 2'!$D:$K,8,FALSE),0)),0))</f>
        <v/>
      </c>
      <c r="N42" s="98" t="str">
        <f>IF(D42="","",IF(COUNTIF('Round 3'!$D:$D,B42)=1,IF(VLOOKUP(D42,'Round 3'!$D:$Q,14,FALSE)="",0,IF(A42&gt;=3,VLOOKUP(D42,'Round 3'!$D:$Q,14,FALSE),0)),0))</f>
        <v/>
      </c>
      <c r="O42" s="99" t="str">
        <f>IF(D42="","",IF(COUNTIF('Round 3'!$D:$D,B42)=1,IF(VLOOKUP(D42,'Round 3'!$D:$Q,14,FALSE)="",0,IF(A42&gt;=3,VLOOKUP(D42,'Round 3'!$D:$K,8,FALSE),0)),0))</f>
        <v/>
      </c>
      <c r="P42" s="100" t="str">
        <f>IF(D42="","",IF(COUNTIF('Round 4'!$D:$D,B42)=1,IF(VLOOKUP(D42,'Round 4'!$D:$Q,14,FALSE)="",0,IF(A42&gt;=4,VLOOKUP(D42,'Round 4'!$D:$Q,14,FALSE),0)),0))</f>
        <v/>
      </c>
      <c r="Q42" s="101" t="str">
        <f>IF(D42="","",IF(COUNTIF('Round 4'!$D:$D,B42)=1,IF(VLOOKUP(D42,'Round 4'!$D:$Q,14,FALSE)="",0,IF(A42&gt;=4,VLOOKUP(D42,'Round 4'!$D:$K,8,FALSE),0)),0))</f>
        <v/>
      </c>
      <c r="R42" s="102" t="str">
        <f>IF(D42="","",IF(COUNTIF('Round 5'!$D:$D,B42)=1,IF(VLOOKUP(D42,'Round 5'!$D:$Q,14,FALSE)="",0,IF(A42&gt;=5,VLOOKUP(D42,'Round 5'!$D:$Q,14,FALSE),0)),0))</f>
        <v/>
      </c>
      <c r="S42" s="103" t="str">
        <f>IF(D42="","",IF(COUNTIF('Round 5'!$D:$D,B42)=1,IF(VLOOKUP(D42,'Round 5'!$D:$Q,14,FALSE)="",0,IF(A42&gt;=5,VLOOKUP(D42,'Round 5'!$D:$K,8,FALSE),0)),0))</f>
        <v/>
      </c>
      <c r="T42" s="108" t="str">
        <f t="shared" si="0"/>
        <v/>
      </c>
      <c r="U42" s="137" t="str">
        <f t="shared" si="1"/>
        <v/>
      </c>
    </row>
    <row r="43" spans="1:21" x14ac:dyDescent="0.3">
      <c r="A43" s="82">
        <f>IF(D11="",0,'Tournament Details'!G4)</f>
        <v>0</v>
      </c>
      <c r="B43" s="90">
        <v>33</v>
      </c>
      <c r="C43" s="112" t="str">
        <f>IF('Tournament Details'!C39="","",B43)</f>
        <v/>
      </c>
      <c r="D43" s="105" t="str">
        <f>IF('Tournament Details'!C39="","",VLOOKUP(C43,'Tournament Details'!$B:$C,2,FALSE))</f>
        <v/>
      </c>
      <c r="E43" s="113" t="str">
        <f>IF(D43="","",VLOOKUP(D43,'Tournament Details'!$C:$H,6,FALSE))</f>
        <v/>
      </c>
      <c r="F43" s="113" t="str">
        <f>IF(D43="","",VLOOKUP(D43,'Tournament Details'!$C:$D,2,FALSE))</f>
        <v/>
      </c>
      <c r="G43" s="114" t="str">
        <f>IF(D43="","",VLOOKUP(D43,'Tournament Details'!$C:$E,3,FALSE))</f>
        <v/>
      </c>
      <c r="H43" s="268" t="str">
        <f>IF(D43="","",IF(VLOOKUP(D43,'Tournament Details'!$C:$G,5,FALSE)="","",VLOOKUP(D43,'Tournament Details'!$C:$G,5,FALSE)))</f>
        <v/>
      </c>
      <c r="I43" s="269"/>
      <c r="J43" s="155" t="str">
        <f>IF(D43="","",IF(COUNTIF('Round 1'!$D:$D,B43)=1,IF(VLOOKUP(D43,'Round 1'!$D:$Q,14,FALSE)="",0,IF(A43&gt;=1,VLOOKUP(D43,'Round 1'!$D:$Q,14,FALSE),0)),0))</f>
        <v/>
      </c>
      <c r="K43" s="95" t="str">
        <f>IF(D43="","",IF(COUNTIF('Round 1'!$D:$D,B43)=1,IF(VLOOKUP(D43,'Round 1'!$D:$Q,14,FALSE)="",0,IF(A43&gt;=1,VLOOKUP(D43,'Round 1'!$D:$K,8,FALSE),0)),0))</f>
        <v/>
      </c>
      <c r="L43" s="96" t="str">
        <f>IF(D43="","",IF(COUNTIF('Round 2'!$D:$D,B43)=1,IF(VLOOKUP(D43,'Round 2'!$D:$Q,14,FALSE)="",0,IF(A43&gt;=2,VLOOKUP(D43,'Round 2'!$D:$Q,14,FALSE),0)),0))</f>
        <v/>
      </c>
      <c r="M43" s="97" t="str">
        <f>IF(D43="","",IF(COUNTIF('Round 2'!$D:$D,B43)=1,IF(VLOOKUP(D43,'Round 2'!$D:$Q,14,FALSE)="",0,IF(A43&gt;=2,VLOOKUP(D43,'Round 2'!$D:$K,8,FALSE),0)),0))</f>
        <v/>
      </c>
      <c r="N43" s="98" t="str">
        <f>IF(D43="","",IF(COUNTIF('Round 3'!$D:$D,B43)=1,IF(VLOOKUP(D43,'Round 3'!$D:$Q,14,FALSE)="",0,IF(A43&gt;=3,VLOOKUP(D43,'Round 3'!$D:$Q,14,FALSE),0)),0))</f>
        <v/>
      </c>
      <c r="O43" s="99" t="str">
        <f>IF(D43="","",IF(COUNTIF('Round 3'!$D:$D,B43)=1,IF(VLOOKUP(D43,'Round 3'!$D:$Q,14,FALSE)="",0,IF(A43&gt;=3,VLOOKUP(D43,'Round 3'!$D:$K,8,FALSE),0)),0))</f>
        <v/>
      </c>
      <c r="P43" s="100" t="str">
        <f>IF(D43="","",IF(COUNTIF('Round 4'!$D:$D,B43)=1,IF(VLOOKUP(D43,'Round 4'!$D:$Q,14,FALSE)="",0,IF(A43&gt;=4,VLOOKUP(D43,'Round 4'!$D:$Q,14,FALSE),0)),0))</f>
        <v/>
      </c>
      <c r="Q43" s="101" t="str">
        <f>IF(D43="","",IF(COUNTIF('Round 4'!$D:$D,B43)=1,IF(VLOOKUP(D43,'Round 4'!$D:$Q,14,FALSE)="",0,IF(A43&gt;=4,VLOOKUP(D43,'Round 4'!$D:$K,8,FALSE),0)),0))</f>
        <v/>
      </c>
      <c r="R43" s="102" t="str">
        <f>IF(D43="","",IF(COUNTIF('Round 5'!$D:$D,B43)=1,IF(VLOOKUP(D43,'Round 5'!$D:$Q,14,FALSE)="",0,IF(A43&gt;=5,VLOOKUP(D43,'Round 5'!$D:$Q,14,FALSE),0)),0))</f>
        <v/>
      </c>
      <c r="S43" s="103" t="str">
        <f>IF(D43="","",IF(COUNTIF('Round 5'!$D:$D,B43)=1,IF(VLOOKUP(D43,'Round 5'!$D:$Q,14,FALSE)="",0,IF(A43&gt;=5,VLOOKUP(D43,'Round 5'!$D:$K,8,FALSE),0)),0))</f>
        <v/>
      </c>
      <c r="T43" s="108" t="str">
        <f t="shared" si="0"/>
        <v/>
      </c>
      <c r="U43" s="137" t="str">
        <f t="shared" si="1"/>
        <v/>
      </c>
    </row>
    <row r="44" spans="1:21" x14ac:dyDescent="0.3">
      <c r="A44" s="82">
        <f>IF(D11="",0,'Tournament Details'!G4)</f>
        <v>0</v>
      </c>
      <c r="B44" s="90">
        <v>34</v>
      </c>
      <c r="C44" s="112" t="str">
        <f>IF('Tournament Details'!C40="","",B44)</f>
        <v/>
      </c>
      <c r="D44" s="105" t="str">
        <f>IF('Tournament Details'!C40="","",VLOOKUP(C44,'Tournament Details'!$B:$C,2,FALSE))</f>
        <v/>
      </c>
      <c r="E44" s="113" t="str">
        <f>IF(D44="","",VLOOKUP(D44,'Tournament Details'!$C:$H,6,FALSE))</f>
        <v/>
      </c>
      <c r="F44" s="113" t="str">
        <f>IF(D44="","",VLOOKUP(D44,'Tournament Details'!$C:$D,2,FALSE))</f>
        <v/>
      </c>
      <c r="G44" s="114" t="str">
        <f>IF(D44="","",VLOOKUP(D44,'Tournament Details'!$C:$E,3,FALSE))</f>
        <v/>
      </c>
      <c r="H44" s="268" t="str">
        <f>IF(D44="","",IF(VLOOKUP(D44,'Tournament Details'!$C:$G,5,FALSE)="","",VLOOKUP(D44,'Tournament Details'!$C:$G,5,FALSE)))</f>
        <v/>
      </c>
      <c r="I44" s="269"/>
      <c r="J44" s="155" t="str">
        <f>IF(D44="","",IF(COUNTIF('Round 1'!$D:$D,B44)=1,IF(VLOOKUP(D44,'Round 1'!$D:$Q,14,FALSE)="",0,IF(A44&gt;=1,VLOOKUP(D44,'Round 1'!$D:$Q,14,FALSE),0)),0))</f>
        <v/>
      </c>
      <c r="K44" s="95" t="str">
        <f>IF(D44="","",IF(COUNTIF('Round 1'!$D:$D,B44)=1,IF(VLOOKUP(D44,'Round 1'!$D:$Q,14,FALSE)="",0,IF(A44&gt;=1,VLOOKUP(D44,'Round 1'!$D:$K,8,FALSE),0)),0))</f>
        <v/>
      </c>
      <c r="L44" s="96" t="str">
        <f>IF(D44="","",IF(COUNTIF('Round 2'!$D:$D,B44)=1,IF(VLOOKUP(D44,'Round 2'!$D:$Q,14,FALSE)="",0,IF(A44&gt;=2,VLOOKUP(D44,'Round 2'!$D:$Q,14,FALSE),0)),0))</f>
        <v/>
      </c>
      <c r="M44" s="97" t="str">
        <f>IF(D44="","",IF(COUNTIF('Round 2'!$D:$D,B44)=1,IF(VLOOKUP(D44,'Round 2'!$D:$Q,14,FALSE)="",0,IF(A44&gt;=2,VLOOKUP(D44,'Round 2'!$D:$K,8,FALSE),0)),0))</f>
        <v/>
      </c>
      <c r="N44" s="98" t="str">
        <f>IF(D44="","",IF(COUNTIF('Round 3'!$D:$D,B44)=1,IF(VLOOKUP(D44,'Round 3'!$D:$Q,14,FALSE)="",0,IF(A44&gt;=3,VLOOKUP(D44,'Round 3'!$D:$Q,14,FALSE),0)),0))</f>
        <v/>
      </c>
      <c r="O44" s="99" t="str">
        <f>IF(D44="","",IF(COUNTIF('Round 3'!$D:$D,B44)=1,IF(VLOOKUP(D44,'Round 3'!$D:$Q,14,FALSE)="",0,IF(A44&gt;=3,VLOOKUP(D44,'Round 3'!$D:$K,8,FALSE),0)),0))</f>
        <v/>
      </c>
      <c r="P44" s="100" t="str">
        <f>IF(D44="","",IF(COUNTIF('Round 4'!$D:$D,B44)=1,IF(VLOOKUP(D44,'Round 4'!$D:$Q,14,FALSE)="",0,IF(A44&gt;=4,VLOOKUP(D44,'Round 4'!$D:$Q,14,FALSE),0)),0))</f>
        <v/>
      </c>
      <c r="Q44" s="101" t="str">
        <f>IF(D44="","",IF(COUNTIF('Round 4'!$D:$D,B44)=1,IF(VLOOKUP(D44,'Round 4'!$D:$Q,14,FALSE)="",0,IF(A44&gt;=4,VLOOKUP(D44,'Round 4'!$D:$K,8,FALSE),0)),0))</f>
        <v/>
      </c>
      <c r="R44" s="102" t="str">
        <f>IF(D44="","",IF(COUNTIF('Round 5'!$D:$D,B44)=1,IF(VLOOKUP(D44,'Round 5'!$D:$Q,14,FALSE)="",0,IF(A44&gt;=5,VLOOKUP(D44,'Round 5'!$D:$Q,14,FALSE),0)),0))</f>
        <v/>
      </c>
      <c r="S44" s="103" t="str">
        <f>IF(D44="","",IF(COUNTIF('Round 5'!$D:$D,B44)=1,IF(VLOOKUP(D44,'Round 5'!$D:$Q,14,FALSE)="",0,IF(A44&gt;=5,VLOOKUP(D44,'Round 5'!$D:$K,8,FALSE),0)),0))</f>
        <v/>
      </c>
      <c r="T44" s="108" t="str">
        <f t="shared" si="0"/>
        <v/>
      </c>
      <c r="U44" s="137" t="str">
        <f t="shared" si="1"/>
        <v/>
      </c>
    </row>
    <row r="45" spans="1:21" x14ac:dyDescent="0.3">
      <c r="A45" s="82">
        <f>IF(D11="",0,'Tournament Details'!G4)</f>
        <v>0</v>
      </c>
      <c r="B45" s="90">
        <v>35</v>
      </c>
      <c r="C45" s="112" t="str">
        <f>IF('Tournament Details'!C41="","",B45)</f>
        <v/>
      </c>
      <c r="D45" s="105" t="str">
        <f>IF('Tournament Details'!C41="","",VLOOKUP(C45,'Tournament Details'!$B:$C,2,FALSE))</f>
        <v/>
      </c>
      <c r="E45" s="113" t="str">
        <f>IF(D45="","",VLOOKUP(D45,'Tournament Details'!$C:$H,6,FALSE))</f>
        <v/>
      </c>
      <c r="F45" s="113" t="str">
        <f>IF(D45="","",VLOOKUP(D45,'Tournament Details'!$C:$D,2,FALSE))</f>
        <v/>
      </c>
      <c r="G45" s="114" t="str">
        <f>IF(D45="","",VLOOKUP(D45,'Tournament Details'!$C:$E,3,FALSE))</f>
        <v/>
      </c>
      <c r="H45" s="268" t="str">
        <f>IF(D45="","",IF(VLOOKUP(D45,'Tournament Details'!$C:$G,5,FALSE)="","",VLOOKUP(D45,'Tournament Details'!$C:$G,5,FALSE)))</f>
        <v/>
      </c>
      <c r="I45" s="269"/>
      <c r="J45" s="155" t="str">
        <f>IF(D45="","",IF(COUNTIF('Round 1'!$D:$D,B45)=1,IF(VLOOKUP(D45,'Round 1'!$D:$Q,14,FALSE)="",0,IF(A45&gt;=1,VLOOKUP(D45,'Round 1'!$D:$Q,14,FALSE),0)),0))</f>
        <v/>
      </c>
      <c r="K45" s="95" t="str">
        <f>IF(D45="","",IF(COUNTIF('Round 1'!$D:$D,B45)=1,IF(VLOOKUP(D45,'Round 1'!$D:$Q,14,FALSE)="",0,IF(A45&gt;=1,VLOOKUP(D45,'Round 1'!$D:$K,8,FALSE),0)),0))</f>
        <v/>
      </c>
      <c r="L45" s="96" t="str">
        <f>IF(D45="","",IF(COUNTIF('Round 2'!$D:$D,B45)=1,IF(VLOOKUP(D45,'Round 2'!$D:$Q,14,FALSE)="",0,IF(A45&gt;=2,VLOOKUP(D45,'Round 2'!$D:$Q,14,FALSE),0)),0))</f>
        <v/>
      </c>
      <c r="M45" s="97" t="str">
        <f>IF(D45="","",IF(COUNTIF('Round 2'!$D:$D,B45)=1,IF(VLOOKUP(D45,'Round 2'!$D:$Q,14,FALSE)="",0,IF(A45&gt;=2,VLOOKUP(D45,'Round 2'!$D:$K,8,FALSE),0)),0))</f>
        <v/>
      </c>
      <c r="N45" s="98" t="str">
        <f>IF(D45="","",IF(COUNTIF('Round 3'!$D:$D,B45)=1,IF(VLOOKUP(D45,'Round 3'!$D:$Q,14,FALSE)="",0,IF(A45&gt;=3,VLOOKUP(D45,'Round 3'!$D:$Q,14,FALSE),0)),0))</f>
        <v/>
      </c>
      <c r="O45" s="99" t="str">
        <f>IF(D45="","",IF(COUNTIF('Round 3'!$D:$D,B45)=1,IF(VLOOKUP(D45,'Round 3'!$D:$Q,14,FALSE)="",0,IF(A45&gt;=3,VLOOKUP(D45,'Round 3'!$D:$K,8,FALSE),0)),0))</f>
        <v/>
      </c>
      <c r="P45" s="100" t="str">
        <f>IF(D45="","",IF(COUNTIF('Round 4'!$D:$D,B45)=1,IF(VLOOKUP(D45,'Round 4'!$D:$Q,14,FALSE)="",0,IF(A45&gt;=4,VLOOKUP(D45,'Round 4'!$D:$Q,14,FALSE),0)),0))</f>
        <v/>
      </c>
      <c r="Q45" s="101" t="str">
        <f>IF(D45="","",IF(COUNTIF('Round 4'!$D:$D,B45)=1,IF(VLOOKUP(D45,'Round 4'!$D:$Q,14,FALSE)="",0,IF(A45&gt;=4,VLOOKUP(D45,'Round 4'!$D:$K,8,FALSE),0)),0))</f>
        <v/>
      </c>
      <c r="R45" s="102" t="str">
        <f>IF(D45="","",IF(COUNTIF('Round 5'!$D:$D,B45)=1,IF(VLOOKUP(D45,'Round 5'!$D:$Q,14,FALSE)="",0,IF(A45&gt;=5,VLOOKUP(D45,'Round 5'!$D:$Q,14,FALSE),0)),0))</f>
        <v/>
      </c>
      <c r="S45" s="103" t="str">
        <f>IF(D45="","",IF(COUNTIF('Round 5'!$D:$D,B45)=1,IF(VLOOKUP(D45,'Round 5'!$D:$Q,14,FALSE)="",0,IF(A45&gt;=5,VLOOKUP(D45,'Round 5'!$D:$K,8,FALSE),0)),0))</f>
        <v/>
      </c>
      <c r="T45" s="108" t="str">
        <f t="shared" si="0"/>
        <v/>
      </c>
      <c r="U45" s="137" t="str">
        <f t="shared" si="1"/>
        <v/>
      </c>
    </row>
    <row r="46" spans="1:21" x14ac:dyDescent="0.3">
      <c r="A46" s="82">
        <f>IF(D11="",0,'Tournament Details'!G4)</f>
        <v>0</v>
      </c>
      <c r="B46" s="90">
        <v>36</v>
      </c>
      <c r="C46" s="112" t="str">
        <f>IF('Tournament Details'!C42="","",B46)</f>
        <v/>
      </c>
      <c r="D46" s="105" t="str">
        <f>IF('Tournament Details'!C42="","",VLOOKUP(C46,'Tournament Details'!$B:$C,2,FALSE))</f>
        <v/>
      </c>
      <c r="E46" s="113" t="str">
        <f>IF(D46="","",VLOOKUP(D46,'Tournament Details'!$C:$H,6,FALSE))</f>
        <v/>
      </c>
      <c r="F46" s="113" t="str">
        <f>IF(D46="","",VLOOKUP(D46,'Tournament Details'!$C:$D,2,FALSE))</f>
        <v/>
      </c>
      <c r="G46" s="114" t="str">
        <f>IF(D46="","",VLOOKUP(D46,'Tournament Details'!$C:$E,3,FALSE))</f>
        <v/>
      </c>
      <c r="H46" s="268" t="str">
        <f>IF(D46="","",IF(VLOOKUP(D46,'Tournament Details'!$C:$G,5,FALSE)="","",VLOOKUP(D46,'Tournament Details'!$C:$G,5,FALSE)))</f>
        <v/>
      </c>
      <c r="I46" s="269"/>
      <c r="J46" s="155" t="str">
        <f>IF(D46="","",IF(COUNTIF('Round 1'!$D:$D,B46)=1,IF(VLOOKUP(D46,'Round 1'!$D:$Q,14,FALSE)="",0,IF(A46&gt;=1,VLOOKUP(D46,'Round 1'!$D:$Q,14,FALSE),0)),0))</f>
        <v/>
      </c>
      <c r="K46" s="95" t="str">
        <f>IF(D46="","",IF(COUNTIF('Round 1'!$D:$D,B46)=1,IF(VLOOKUP(D46,'Round 1'!$D:$Q,14,FALSE)="",0,IF(A46&gt;=1,VLOOKUP(D46,'Round 1'!$D:$K,8,FALSE),0)),0))</f>
        <v/>
      </c>
      <c r="L46" s="96" t="str">
        <f>IF(D46="","",IF(COUNTIF('Round 2'!$D:$D,B46)=1,IF(VLOOKUP(D46,'Round 2'!$D:$Q,14,FALSE)="",0,IF(A46&gt;=2,VLOOKUP(D46,'Round 2'!$D:$Q,14,FALSE),0)),0))</f>
        <v/>
      </c>
      <c r="M46" s="97" t="str">
        <f>IF(D46="","",IF(COUNTIF('Round 2'!$D:$D,B46)=1,IF(VLOOKUP(D46,'Round 2'!$D:$Q,14,FALSE)="",0,IF(A46&gt;=2,VLOOKUP(D46,'Round 2'!$D:$K,8,FALSE),0)),0))</f>
        <v/>
      </c>
      <c r="N46" s="98" t="str">
        <f>IF(D46="","",IF(COUNTIF('Round 3'!$D:$D,B46)=1,IF(VLOOKUP(D46,'Round 3'!$D:$Q,14,FALSE)="",0,IF(A46&gt;=3,VLOOKUP(D46,'Round 3'!$D:$Q,14,FALSE),0)),0))</f>
        <v/>
      </c>
      <c r="O46" s="99" t="str">
        <f>IF(D46="","",IF(COUNTIF('Round 3'!$D:$D,B46)=1,IF(VLOOKUP(D46,'Round 3'!$D:$Q,14,FALSE)="",0,IF(A46&gt;=3,VLOOKUP(D46,'Round 3'!$D:$K,8,FALSE),0)),0))</f>
        <v/>
      </c>
      <c r="P46" s="100" t="str">
        <f>IF(D46="","",IF(COUNTIF('Round 4'!$D:$D,B46)=1,IF(VLOOKUP(D46,'Round 4'!$D:$Q,14,FALSE)="",0,IF(A46&gt;=4,VLOOKUP(D46,'Round 4'!$D:$Q,14,FALSE),0)),0))</f>
        <v/>
      </c>
      <c r="Q46" s="101" t="str">
        <f>IF(D46="","",IF(COUNTIF('Round 4'!$D:$D,B46)=1,IF(VLOOKUP(D46,'Round 4'!$D:$Q,14,FALSE)="",0,IF(A46&gt;=4,VLOOKUP(D46,'Round 4'!$D:$K,8,FALSE),0)),0))</f>
        <v/>
      </c>
      <c r="R46" s="102" t="str">
        <f>IF(D46="","",IF(COUNTIF('Round 5'!$D:$D,B46)=1,IF(VLOOKUP(D46,'Round 5'!$D:$Q,14,FALSE)="",0,IF(A46&gt;=5,VLOOKUP(D46,'Round 5'!$D:$Q,14,FALSE),0)),0))</f>
        <v/>
      </c>
      <c r="S46" s="103" t="str">
        <f>IF(D46="","",IF(COUNTIF('Round 5'!$D:$D,B46)=1,IF(VLOOKUP(D46,'Round 5'!$D:$Q,14,FALSE)="",0,IF(A46&gt;=5,VLOOKUP(D46,'Round 5'!$D:$K,8,FALSE),0)),0))</f>
        <v/>
      </c>
      <c r="T46" s="108" t="str">
        <f t="shared" si="0"/>
        <v/>
      </c>
      <c r="U46" s="137" t="str">
        <f t="shared" si="1"/>
        <v/>
      </c>
    </row>
    <row r="47" spans="1:21" x14ac:dyDescent="0.3">
      <c r="A47" s="82">
        <f>IF(D11="",0,'Tournament Details'!G4)</f>
        <v>0</v>
      </c>
      <c r="B47" s="90">
        <v>37</v>
      </c>
      <c r="C47" s="112" t="str">
        <f>IF('Tournament Details'!C43="","",B47)</f>
        <v/>
      </c>
      <c r="D47" s="105" t="str">
        <f>IF('Tournament Details'!C43="","",VLOOKUP(C47,'Tournament Details'!$B:$C,2,FALSE))</f>
        <v/>
      </c>
      <c r="E47" s="113" t="str">
        <f>IF(D47="","",VLOOKUP(D47,'Tournament Details'!$C:$H,6,FALSE))</f>
        <v/>
      </c>
      <c r="F47" s="113" t="str">
        <f>IF(D47="","",VLOOKUP(D47,'Tournament Details'!$C:$D,2,FALSE))</f>
        <v/>
      </c>
      <c r="G47" s="114" t="str">
        <f>IF(D47="","",VLOOKUP(D47,'Tournament Details'!$C:$E,3,FALSE))</f>
        <v/>
      </c>
      <c r="H47" s="268" t="str">
        <f>IF(D47="","",IF(VLOOKUP(D47,'Tournament Details'!$C:$G,5,FALSE)="","",VLOOKUP(D47,'Tournament Details'!$C:$G,5,FALSE)))</f>
        <v/>
      </c>
      <c r="I47" s="269"/>
      <c r="J47" s="155" t="str">
        <f>IF(D47="","",IF(COUNTIF('Round 1'!$D:$D,B47)=1,IF(VLOOKUP(D47,'Round 1'!$D:$Q,14,FALSE)="",0,IF(A47&gt;=1,VLOOKUP(D47,'Round 1'!$D:$Q,14,FALSE),0)),0))</f>
        <v/>
      </c>
      <c r="K47" s="95" t="str">
        <f>IF(D47="","",IF(COUNTIF('Round 1'!$D:$D,B47)=1,IF(VLOOKUP(D47,'Round 1'!$D:$Q,14,FALSE)="",0,IF(A47&gt;=1,VLOOKUP(D47,'Round 1'!$D:$K,8,FALSE),0)),0))</f>
        <v/>
      </c>
      <c r="L47" s="96" t="str">
        <f>IF(D47="","",IF(COUNTIF('Round 2'!$D:$D,B47)=1,IF(VLOOKUP(D47,'Round 2'!$D:$Q,14,FALSE)="",0,IF(A47&gt;=2,VLOOKUP(D47,'Round 2'!$D:$Q,14,FALSE),0)),0))</f>
        <v/>
      </c>
      <c r="M47" s="97" t="str">
        <f>IF(D47="","",IF(COUNTIF('Round 2'!$D:$D,B47)=1,IF(VLOOKUP(D47,'Round 2'!$D:$Q,14,FALSE)="",0,IF(A47&gt;=2,VLOOKUP(D47,'Round 2'!$D:$K,8,FALSE),0)),0))</f>
        <v/>
      </c>
      <c r="N47" s="98" t="str">
        <f>IF(D47="","",IF(COUNTIF('Round 3'!$D:$D,B47)=1,IF(VLOOKUP(D47,'Round 3'!$D:$Q,14,FALSE)="",0,IF(A47&gt;=3,VLOOKUP(D47,'Round 3'!$D:$Q,14,FALSE),0)),0))</f>
        <v/>
      </c>
      <c r="O47" s="99" t="str">
        <f>IF(D47="","",IF(COUNTIF('Round 3'!$D:$D,B47)=1,IF(VLOOKUP(D47,'Round 3'!$D:$Q,14,FALSE)="",0,IF(A47&gt;=3,VLOOKUP(D47,'Round 3'!$D:$K,8,FALSE),0)),0))</f>
        <v/>
      </c>
      <c r="P47" s="100" t="str">
        <f>IF(D47="","",IF(COUNTIF('Round 4'!$D:$D,B47)=1,IF(VLOOKUP(D47,'Round 4'!$D:$Q,14,FALSE)="",0,IF(A47&gt;=4,VLOOKUP(D47,'Round 4'!$D:$Q,14,FALSE),0)),0))</f>
        <v/>
      </c>
      <c r="Q47" s="101" t="str">
        <f>IF(D47="","",IF(COUNTIF('Round 4'!$D:$D,B47)=1,IF(VLOOKUP(D47,'Round 4'!$D:$Q,14,FALSE)="",0,IF(A47&gt;=4,VLOOKUP(D47,'Round 4'!$D:$K,8,FALSE),0)),0))</f>
        <v/>
      </c>
      <c r="R47" s="102" t="str">
        <f>IF(D47="","",IF(COUNTIF('Round 5'!$D:$D,B47)=1,IF(VLOOKUP(D47,'Round 5'!$D:$Q,14,FALSE)="",0,IF(A47&gt;=5,VLOOKUP(D47,'Round 5'!$D:$Q,14,FALSE),0)),0))</f>
        <v/>
      </c>
      <c r="S47" s="103" t="str">
        <f>IF(D47="","",IF(COUNTIF('Round 5'!$D:$D,B47)=1,IF(VLOOKUP(D47,'Round 5'!$D:$Q,14,FALSE)="",0,IF(A47&gt;=5,VLOOKUP(D47,'Round 5'!$D:$K,8,FALSE),0)),0))</f>
        <v/>
      </c>
      <c r="T47" s="108" t="str">
        <f t="shared" si="0"/>
        <v/>
      </c>
      <c r="U47" s="137" t="str">
        <f t="shared" si="1"/>
        <v/>
      </c>
    </row>
    <row r="48" spans="1:21" x14ac:dyDescent="0.3">
      <c r="A48" s="82">
        <f>IF(D11="",0,'Tournament Details'!G4)</f>
        <v>0</v>
      </c>
      <c r="B48" s="90">
        <v>38</v>
      </c>
      <c r="C48" s="112" t="str">
        <f>IF('Tournament Details'!C44="","",B48)</f>
        <v/>
      </c>
      <c r="D48" s="105" t="str">
        <f>IF('Tournament Details'!C44="","",VLOOKUP(C48,'Tournament Details'!$B:$C,2,FALSE))</f>
        <v/>
      </c>
      <c r="E48" s="113" t="str">
        <f>IF(D48="","",VLOOKUP(D48,'Tournament Details'!$C:$H,6,FALSE))</f>
        <v/>
      </c>
      <c r="F48" s="113" t="str">
        <f>IF(D48="","",VLOOKUP(D48,'Tournament Details'!$C:$D,2,FALSE))</f>
        <v/>
      </c>
      <c r="G48" s="114" t="str">
        <f>IF(D48="","",VLOOKUP(D48,'Tournament Details'!$C:$E,3,FALSE))</f>
        <v/>
      </c>
      <c r="H48" s="268" t="str">
        <f>IF(D48="","",IF(VLOOKUP(D48,'Tournament Details'!$C:$G,5,FALSE)="","",VLOOKUP(D48,'Tournament Details'!$C:$G,5,FALSE)))</f>
        <v/>
      </c>
      <c r="I48" s="269"/>
      <c r="J48" s="155" t="str">
        <f>IF(D48="","",IF(COUNTIF('Round 1'!$D:$D,B48)=1,IF(VLOOKUP(D48,'Round 1'!$D:$Q,14,FALSE)="",0,IF(A48&gt;=1,VLOOKUP(D48,'Round 1'!$D:$Q,14,FALSE),0)),0))</f>
        <v/>
      </c>
      <c r="K48" s="95" t="str">
        <f>IF(D48="","",IF(COUNTIF('Round 1'!$D:$D,B48)=1,IF(VLOOKUP(D48,'Round 1'!$D:$Q,14,FALSE)="",0,IF(A48&gt;=1,VLOOKUP(D48,'Round 1'!$D:$K,8,FALSE),0)),0))</f>
        <v/>
      </c>
      <c r="L48" s="96" t="str">
        <f>IF(D48="","",IF(COUNTIF('Round 2'!$D:$D,B48)=1,IF(VLOOKUP(D48,'Round 2'!$D:$Q,14,FALSE)="",0,IF(A48&gt;=2,VLOOKUP(D48,'Round 2'!$D:$Q,14,FALSE),0)),0))</f>
        <v/>
      </c>
      <c r="M48" s="97" t="str">
        <f>IF(D48="","",IF(COUNTIF('Round 2'!$D:$D,B48)=1,IF(VLOOKUP(D48,'Round 2'!$D:$Q,14,FALSE)="",0,IF(A48&gt;=2,VLOOKUP(D48,'Round 2'!$D:$K,8,FALSE),0)),0))</f>
        <v/>
      </c>
      <c r="N48" s="98" t="str">
        <f>IF(D48="","",IF(COUNTIF('Round 3'!$D:$D,B48)=1,IF(VLOOKUP(D48,'Round 3'!$D:$Q,14,FALSE)="",0,IF(A48&gt;=3,VLOOKUP(D48,'Round 3'!$D:$Q,14,FALSE),0)),0))</f>
        <v/>
      </c>
      <c r="O48" s="99" t="str">
        <f>IF(D48="","",IF(COUNTIF('Round 3'!$D:$D,B48)=1,IF(VLOOKUP(D48,'Round 3'!$D:$Q,14,FALSE)="",0,IF(A48&gt;=3,VLOOKUP(D48,'Round 3'!$D:$K,8,FALSE),0)),0))</f>
        <v/>
      </c>
      <c r="P48" s="100" t="str">
        <f>IF(D48="","",IF(COUNTIF('Round 4'!$D:$D,B48)=1,IF(VLOOKUP(D48,'Round 4'!$D:$Q,14,FALSE)="",0,IF(A48&gt;=4,VLOOKUP(D48,'Round 4'!$D:$Q,14,FALSE),0)),0))</f>
        <v/>
      </c>
      <c r="Q48" s="101" t="str">
        <f>IF(D48="","",IF(COUNTIF('Round 4'!$D:$D,B48)=1,IF(VLOOKUP(D48,'Round 4'!$D:$Q,14,FALSE)="",0,IF(A48&gt;=4,VLOOKUP(D48,'Round 4'!$D:$K,8,FALSE),0)),0))</f>
        <v/>
      </c>
      <c r="R48" s="102" t="str">
        <f>IF(D48="","",IF(COUNTIF('Round 5'!$D:$D,B48)=1,IF(VLOOKUP(D48,'Round 5'!$D:$Q,14,FALSE)="",0,IF(A48&gt;=5,VLOOKUP(D48,'Round 5'!$D:$Q,14,FALSE),0)),0))</f>
        <v/>
      </c>
      <c r="S48" s="103" t="str">
        <f>IF(D48="","",IF(COUNTIF('Round 5'!$D:$D,B48)=1,IF(VLOOKUP(D48,'Round 5'!$D:$Q,14,FALSE)="",0,IF(A48&gt;=5,VLOOKUP(D48,'Round 5'!$D:$K,8,FALSE),0)),0))</f>
        <v/>
      </c>
      <c r="T48" s="108" t="str">
        <f t="shared" si="0"/>
        <v/>
      </c>
      <c r="U48" s="137" t="str">
        <f t="shared" si="1"/>
        <v/>
      </c>
    </row>
    <row r="49" spans="1:21" x14ac:dyDescent="0.3">
      <c r="A49" s="82">
        <f>IF(D11="",0,'Tournament Details'!G4)</f>
        <v>0</v>
      </c>
      <c r="B49" s="90">
        <v>39</v>
      </c>
      <c r="C49" s="112" t="str">
        <f>IF('Tournament Details'!C45="","",B49)</f>
        <v/>
      </c>
      <c r="D49" s="105" t="str">
        <f>IF('Tournament Details'!C45="","",VLOOKUP(C49,'Tournament Details'!$B:$C,2,FALSE))</f>
        <v/>
      </c>
      <c r="E49" s="113" t="str">
        <f>IF(D49="","",VLOOKUP(D49,'Tournament Details'!$C:$H,6,FALSE))</f>
        <v/>
      </c>
      <c r="F49" s="113" t="str">
        <f>IF(D49="","",VLOOKUP(D49,'Tournament Details'!$C:$D,2,FALSE))</f>
        <v/>
      </c>
      <c r="G49" s="114" t="str">
        <f>IF(D49="","",VLOOKUP(D49,'Tournament Details'!$C:$E,3,FALSE))</f>
        <v/>
      </c>
      <c r="H49" s="268" t="str">
        <f>IF(D49="","",IF(VLOOKUP(D49,'Tournament Details'!$C:$G,5,FALSE)="","",VLOOKUP(D49,'Tournament Details'!$C:$G,5,FALSE)))</f>
        <v/>
      </c>
      <c r="I49" s="269"/>
      <c r="J49" s="155" t="str">
        <f>IF(D49="","",IF(COUNTIF('Round 1'!$D:$D,B49)=1,IF(VLOOKUP(D49,'Round 1'!$D:$Q,14,FALSE)="",0,IF(A49&gt;=1,VLOOKUP(D49,'Round 1'!$D:$Q,14,FALSE),0)),0))</f>
        <v/>
      </c>
      <c r="K49" s="95" t="str">
        <f>IF(D49="","",IF(COUNTIF('Round 1'!$D:$D,B49)=1,IF(VLOOKUP(D49,'Round 1'!$D:$Q,14,FALSE)="",0,IF(A49&gt;=1,VLOOKUP(D49,'Round 1'!$D:$K,8,FALSE),0)),0))</f>
        <v/>
      </c>
      <c r="L49" s="96" t="str">
        <f>IF(D49="","",IF(COUNTIF('Round 2'!$D:$D,B49)=1,IF(VLOOKUP(D49,'Round 2'!$D:$Q,14,FALSE)="",0,IF(A49&gt;=2,VLOOKUP(D49,'Round 2'!$D:$Q,14,FALSE),0)),0))</f>
        <v/>
      </c>
      <c r="M49" s="97" t="str">
        <f>IF(D49="","",IF(COUNTIF('Round 2'!$D:$D,B49)=1,IF(VLOOKUP(D49,'Round 2'!$D:$Q,14,FALSE)="",0,IF(A49&gt;=2,VLOOKUP(D49,'Round 2'!$D:$K,8,FALSE),0)),0))</f>
        <v/>
      </c>
      <c r="N49" s="98" t="str">
        <f>IF(D49="","",IF(COUNTIF('Round 3'!$D:$D,B49)=1,IF(VLOOKUP(D49,'Round 3'!$D:$Q,14,FALSE)="",0,IF(A49&gt;=3,VLOOKUP(D49,'Round 3'!$D:$Q,14,FALSE),0)),0))</f>
        <v/>
      </c>
      <c r="O49" s="99" t="str">
        <f>IF(D49="","",IF(COUNTIF('Round 3'!$D:$D,B49)=1,IF(VLOOKUP(D49,'Round 3'!$D:$Q,14,FALSE)="",0,IF(A49&gt;=3,VLOOKUP(D49,'Round 3'!$D:$K,8,FALSE),0)),0))</f>
        <v/>
      </c>
      <c r="P49" s="100" t="str">
        <f>IF(D49="","",IF(COUNTIF('Round 4'!$D:$D,B49)=1,IF(VLOOKUP(D49,'Round 4'!$D:$Q,14,FALSE)="",0,IF(A49&gt;=4,VLOOKUP(D49,'Round 4'!$D:$Q,14,FALSE),0)),0))</f>
        <v/>
      </c>
      <c r="Q49" s="101" t="str">
        <f>IF(D49="","",IF(COUNTIF('Round 4'!$D:$D,B49)=1,IF(VLOOKUP(D49,'Round 4'!$D:$Q,14,FALSE)="",0,IF(A49&gt;=4,VLOOKUP(D49,'Round 4'!$D:$K,8,FALSE),0)),0))</f>
        <v/>
      </c>
      <c r="R49" s="102" t="str">
        <f>IF(D49="","",IF(COUNTIF('Round 5'!$D:$D,B49)=1,IF(VLOOKUP(D49,'Round 5'!$D:$Q,14,FALSE)="",0,IF(A49&gt;=5,VLOOKUP(D49,'Round 5'!$D:$Q,14,FALSE),0)),0))</f>
        <v/>
      </c>
      <c r="S49" s="103" t="str">
        <f>IF(D49="","",IF(COUNTIF('Round 5'!$D:$D,B49)=1,IF(VLOOKUP(D49,'Round 5'!$D:$Q,14,FALSE)="",0,IF(A49&gt;=5,VLOOKUP(D49,'Round 5'!$D:$K,8,FALSE),0)),0))</f>
        <v/>
      </c>
      <c r="T49" s="108" t="str">
        <f t="shared" si="0"/>
        <v/>
      </c>
      <c r="U49" s="137" t="str">
        <f t="shared" si="1"/>
        <v/>
      </c>
    </row>
    <row r="50" spans="1:21" x14ac:dyDescent="0.3">
      <c r="A50" s="82">
        <f>IF(D11="",0,'Tournament Details'!G4)</f>
        <v>0</v>
      </c>
      <c r="B50" s="90">
        <v>40</v>
      </c>
      <c r="C50" s="112" t="str">
        <f>IF('Tournament Details'!C46="","",B50)</f>
        <v/>
      </c>
      <c r="D50" s="105" t="str">
        <f>IF('Tournament Details'!C46="","",VLOOKUP(C50,'Tournament Details'!$B:$C,2,FALSE))</f>
        <v/>
      </c>
      <c r="E50" s="113" t="str">
        <f>IF(D50="","",VLOOKUP(D50,'Tournament Details'!$C:$H,6,FALSE))</f>
        <v/>
      </c>
      <c r="F50" s="113" t="str">
        <f>IF(D50="","",VLOOKUP(D50,'Tournament Details'!$C:$D,2,FALSE))</f>
        <v/>
      </c>
      <c r="G50" s="114" t="str">
        <f>IF(D50="","",VLOOKUP(D50,'Tournament Details'!$C:$E,3,FALSE))</f>
        <v/>
      </c>
      <c r="H50" s="268" t="str">
        <f>IF(D50="","",IF(VLOOKUP(D50,'Tournament Details'!$C:$G,5,FALSE)="","",VLOOKUP(D50,'Tournament Details'!$C:$G,5,FALSE)))</f>
        <v/>
      </c>
      <c r="I50" s="269"/>
      <c r="J50" s="155" t="str">
        <f>IF(D50="","",IF(COUNTIF('Round 1'!$D:$D,B50)=1,IF(VLOOKUP(D50,'Round 1'!$D:$Q,14,FALSE)="",0,IF(A50&gt;=1,VLOOKUP(D50,'Round 1'!$D:$Q,14,FALSE),0)),0))</f>
        <v/>
      </c>
      <c r="K50" s="95" t="str">
        <f>IF(D50="","",IF(COUNTIF('Round 1'!$D:$D,B50)=1,IF(VLOOKUP(D50,'Round 1'!$D:$Q,14,FALSE)="",0,IF(A50&gt;=1,VLOOKUP(D50,'Round 1'!$D:$K,8,FALSE),0)),0))</f>
        <v/>
      </c>
      <c r="L50" s="96" t="str">
        <f>IF(D50="","",IF(COUNTIF('Round 2'!$D:$D,B50)=1,IF(VLOOKUP(D50,'Round 2'!$D:$Q,14,FALSE)="",0,IF(A50&gt;=2,VLOOKUP(D50,'Round 2'!$D:$Q,14,FALSE),0)),0))</f>
        <v/>
      </c>
      <c r="M50" s="97" t="str">
        <f>IF(D50="","",IF(COUNTIF('Round 2'!$D:$D,B50)=1,IF(VLOOKUP(D50,'Round 2'!$D:$Q,14,FALSE)="",0,IF(A50&gt;=2,VLOOKUP(D50,'Round 2'!$D:$K,8,FALSE),0)),0))</f>
        <v/>
      </c>
      <c r="N50" s="98" t="str">
        <f>IF(D50="","",IF(COUNTIF('Round 3'!$D:$D,B50)=1,IF(VLOOKUP(D50,'Round 3'!$D:$Q,14,FALSE)="",0,IF(A50&gt;=3,VLOOKUP(D50,'Round 3'!$D:$Q,14,FALSE),0)),0))</f>
        <v/>
      </c>
      <c r="O50" s="99" t="str">
        <f>IF(D50="","",IF(COUNTIF('Round 3'!$D:$D,B50)=1,IF(VLOOKUP(D50,'Round 3'!$D:$Q,14,FALSE)="",0,IF(A50&gt;=3,VLOOKUP(D50,'Round 3'!$D:$K,8,FALSE),0)),0))</f>
        <v/>
      </c>
      <c r="P50" s="100" t="str">
        <f>IF(D50="","",IF(COUNTIF('Round 4'!$D:$D,B50)=1,IF(VLOOKUP(D50,'Round 4'!$D:$Q,14,FALSE)="",0,IF(A50&gt;=4,VLOOKUP(D50,'Round 4'!$D:$Q,14,FALSE),0)),0))</f>
        <v/>
      </c>
      <c r="Q50" s="101" t="str">
        <f>IF(D50="","",IF(COUNTIF('Round 4'!$D:$D,B50)=1,IF(VLOOKUP(D50,'Round 4'!$D:$Q,14,FALSE)="",0,IF(A50&gt;=4,VLOOKUP(D50,'Round 4'!$D:$K,8,FALSE),0)),0))</f>
        <v/>
      </c>
      <c r="R50" s="102" t="str">
        <f>IF(D50="","",IF(COUNTIF('Round 5'!$D:$D,B50)=1,IF(VLOOKUP(D50,'Round 5'!$D:$Q,14,FALSE)="",0,IF(A50&gt;=5,VLOOKUP(D50,'Round 5'!$D:$Q,14,FALSE),0)),0))</f>
        <v/>
      </c>
      <c r="S50" s="103" t="str">
        <f>IF(D50="","",IF(COUNTIF('Round 5'!$D:$D,B50)=1,IF(VLOOKUP(D50,'Round 5'!$D:$Q,14,FALSE)="",0,IF(A50&gt;=5,VLOOKUP(D50,'Round 5'!$D:$K,8,FALSE),0)),0))</f>
        <v/>
      </c>
      <c r="T50" s="108" t="str">
        <f t="shared" si="0"/>
        <v/>
      </c>
      <c r="U50" s="137" t="str">
        <f t="shared" si="1"/>
        <v/>
      </c>
    </row>
    <row r="51" spans="1:21" x14ac:dyDescent="0.3">
      <c r="A51" s="82">
        <f>IF(D11="",0,'Tournament Details'!G4)</f>
        <v>0</v>
      </c>
      <c r="B51" s="90">
        <v>41</v>
      </c>
      <c r="C51" s="112" t="str">
        <f>IF('Tournament Details'!C47="","",B51)</f>
        <v/>
      </c>
      <c r="D51" s="105" t="str">
        <f>IF('Tournament Details'!C47="","",VLOOKUP(C51,'Tournament Details'!$B:$C,2,FALSE))</f>
        <v/>
      </c>
      <c r="E51" s="113" t="str">
        <f>IF(D51="","",VLOOKUP(D51,'Tournament Details'!$C:$H,6,FALSE))</f>
        <v/>
      </c>
      <c r="F51" s="113" t="str">
        <f>IF(D51="","",VLOOKUP(D51,'Tournament Details'!$C:$D,2,FALSE))</f>
        <v/>
      </c>
      <c r="G51" s="114" t="str">
        <f>IF(D51="","",VLOOKUP(D51,'Tournament Details'!$C:$E,3,FALSE))</f>
        <v/>
      </c>
      <c r="H51" s="268" t="str">
        <f>IF(D51="","",IF(VLOOKUP(D51,'Tournament Details'!$C:$G,5,FALSE)="","",VLOOKUP(D51,'Tournament Details'!$C:$G,5,FALSE)))</f>
        <v/>
      </c>
      <c r="I51" s="269"/>
      <c r="J51" s="155" t="str">
        <f>IF(D51="","",IF(COUNTIF('Round 1'!$D:$D,B51)=1,IF(VLOOKUP(D51,'Round 1'!$D:$Q,14,FALSE)="",0,IF(A51&gt;=1,VLOOKUP(D51,'Round 1'!$D:$Q,14,FALSE),0)),0))</f>
        <v/>
      </c>
      <c r="K51" s="95" t="str">
        <f>IF(D51="","",IF(COUNTIF('Round 1'!$D:$D,B51)=1,IF(VLOOKUP(D51,'Round 1'!$D:$Q,14,FALSE)="",0,IF(A51&gt;=1,VLOOKUP(D51,'Round 1'!$D:$K,8,FALSE),0)),0))</f>
        <v/>
      </c>
      <c r="L51" s="96" t="str">
        <f>IF(D51="","",IF(COUNTIF('Round 2'!$D:$D,B51)=1,IF(VLOOKUP(D51,'Round 2'!$D:$Q,14,FALSE)="",0,IF(A51&gt;=2,VLOOKUP(D51,'Round 2'!$D:$Q,14,FALSE),0)),0))</f>
        <v/>
      </c>
      <c r="M51" s="97" t="str">
        <f>IF(D51="","",IF(COUNTIF('Round 2'!$D:$D,B51)=1,IF(VLOOKUP(D51,'Round 2'!$D:$Q,14,FALSE)="",0,IF(A51&gt;=2,VLOOKUP(D51,'Round 2'!$D:$K,8,FALSE),0)),0))</f>
        <v/>
      </c>
      <c r="N51" s="98" t="str">
        <f>IF(D51="","",IF(COUNTIF('Round 3'!$D:$D,B51)=1,IF(VLOOKUP(D51,'Round 3'!$D:$Q,14,FALSE)="",0,IF(A51&gt;=3,VLOOKUP(D51,'Round 3'!$D:$Q,14,FALSE),0)),0))</f>
        <v/>
      </c>
      <c r="O51" s="99" t="str">
        <f>IF(D51="","",IF(COUNTIF('Round 3'!$D:$D,B51)=1,IF(VLOOKUP(D51,'Round 3'!$D:$Q,14,FALSE)="",0,IF(A51&gt;=3,VLOOKUP(D51,'Round 3'!$D:$K,8,FALSE),0)),0))</f>
        <v/>
      </c>
      <c r="P51" s="100" t="str">
        <f>IF(D51="","",IF(COUNTIF('Round 4'!$D:$D,B51)=1,IF(VLOOKUP(D51,'Round 4'!$D:$Q,14,FALSE)="",0,IF(A51&gt;=4,VLOOKUP(D51,'Round 4'!$D:$Q,14,FALSE),0)),0))</f>
        <v/>
      </c>
      <c r="Q51" s="101" t="str">
        <f>IF(D51="","",IF(COUNTIF('Round 4'!$D:$D,B51)=1,IF(VLOOKUP(D51,'Round 4'!$D:$Q,14,FALSE)="",0,IF(A51&gt;=4,VLOOKUP(D51,'Round 4'!$D:$K,8,FALSE),0)),0))</f>
        <v/>
      </c>
      <c r="R51" s="102" t="str">
        <f>IF(D51="","",IF(COUNTIF('Round 5'!$D:$D,B51)=1,IF(VLOOKUP(D51,'Round 5'!$D:$Q,14,FALSE)="",0,IF(A51&gt;=5,VLOOKUP(D51,'Round 5'!$D:$Q,14,FALSE),0)),0))</f>
        <v/>
      </c>
      <c r="S51" s="103" t="str">
        <f>IF(D51="","",IF(COUNTIF('Round 5'!$D:$D,B51)=1,IF(VLOOKUP(D51,'Round 5'!$D:$Q,14,FALSE)="",0,IF(A51&gt;=5,VLOOKUP(D51,'Round 5'!$D:$K,8,FALSE),0)),0))</f>
        <v/>
      </c>
      <c r="T51" s="108" t="str">
        <f t="shared" si="0"/>
        <v/>
      </c>
      <c r="U51" s="137" t="str">
        <f t="shared" si="1"/>
        <v/>
      </c>
    </row>
    <row r="52" spans="1:21" x14ac:dyDescent="0.3">
      <c r="A52" s="82">
        <f>IF(D11="",0,'Tournament Details'!G4)</f>
        <v>0</v>
      </c>
      <c r="B52" s="90">
        <v>42</v>
      </c>
      <c r="C52" s="112" t="str">
        <f>IF('Tournament Details'!C48="","",B52)</f>
        <v/>
      </c>
      <c r="D52" s="105" t="str">
        <f>IF('Tournament Details'!C48="","",VLOOKUP(C52,'Tournament Details'!$B:$C,2,FALSE))</f>
        <v/>
      </c>
      <c r="E52" s="113" t="str">
        <f>IF(D52="","",VLOOKUP(D52,'Tournament Details'!$C:$H,6,FALSE))</f>
        <v/>
      </c>
      <c r="F52" s="113" t="str">
        <f>IF(D52="","",VLOOKUP(D52,'Tournament Details'!$C:$D,2,FALSE))</f>
        <v/>
      </c>
      <c r="G52" s="114" t="str">
        <f>IF(D52="","",VLOOKUP(D52,'Tournament Details'!$C:$E,3,FALSE))</f>
        <v/>
      </c>
      <c r="H52" s="268" t="str">
        <f>IF(D52="","",IF(VLOOKUP(D52,'Tournament Details'!$C:$G,5,FALSE)="","",VLOOKUP(D52,'Tournament Details'!$C:$G,5,FALSE)))</f>
        <v/>
      </c>
      <c r="I52" s="269"/>
      <c r="J52" s="155" t="str">
        <f>IF(D52="","",IF(COUNTIF('Round 1'!$D:$D,B52)=1,IF(VLOOKUP(D52,'Round 1'!$D:$Q,14,FALSE)="",0,IF(A52&gt;=1,VLOOKUP(D52,'Round 1'!$D:$Q,14,FALSE),0)),0))</f>
        <v/>
      </c>
      <c r="K52" s="95" t="str">
        <f>IF(D52="","",IF(COUNTIF('Round 1'!$D:$D,B52)=1,IF(VLOOKUP(D52,'Round 1'!$D:$Q,14,FALSE)="",0,IF(A52&gt;=1,VLOOKUP(D52,'Round 1'!$D:$K,8,FALSE),0)),0))</f>
        <v/>
      </c>
      <c r="L52" s="96" t="str">
        <f>IF(D52="","",IF(COUNTIF('Round 2'!$D:$D,B52)=1,IF(VLOOKUP(D52,'Round 2'!$D:$Q,14,FALSE)="",0,IF(A52&gt;=2,VLOOKUP(D52,'Round 2'!$D:$Q,14,FALSE),0)),0))</f>
        <v/>
      </c>
      <c r="M52" s="97" t="str">
        <f>IF(D52="","",IF(COUNTIF('Round 2'!$D:$D,B52)=1,IF(VLOOKUP(D52,'Round 2'!$D:$Q,14,FALSE)="",0,IF(A52&gt;=2,VLOOKUP(D52,'Round 2'!$D:$K,8,FALSE),0)),0))</f>
        <v/>
      </c>
      <c r="N52" s="98" t="str">
        <f>IF(D52="","",IF(COUNTIF('Round 3'!$D:$D,B52)=1,IF(VLOOKUP(D52,'Round 3'!$D:$Q,14,FALSE)="",0,IF(A52&gt;=3,VLOOKUP(D52,'Round 3'!$D:$Q,14,FALSE),0)),0))</f>
        <v/>
      </c>
      <c r="O52" s="99" t="str">
        <f>IF(D52="","",IF(COUNTIF('Round 3'!$D:$D,B52)=1,IF(VLOOKUP(D52,'Round 3'!$D:$Q,14,FALSE)="",0,IF(A52&gt;=3,VLOOKUP(D52,'Round 3'!$D:$K,8,FALSE),0)),0))</f>
        <v/>
      </c>
      <c r="P52" s="100" t="str">
        <f>IF(D52="","",IF(COUNTIF('Round 4'!$D:$D,B52)=1,IF(VLOOKUP(D52,'Round 4'!$D:$Q,14,FALSE)="",0,IF(A52&gt;=4,VLOOKUP(D52,'Round 4'!$D:$Q,14,FALSE),0)),0))</f>
        <v/>
      </c>
      <c r="Q52" s="101" t="str">
        <f>IF(D52="","",IF(COUNTIF('Round 4'!$D:$D,B52)=1,IF(VLOOKUP(D52,'Round 4'!$D:$Q,14,FALSE)="",0,IF(A52&gt;=4,VLOOKUP(D52,'Round 4'!$D:$K,8,FALSE),0)),0))</f>
        <v/>
      </c>
      <c r="R52" s="102" t="str">
        <f>IF(D52="","",IF(COUNTIF('Round 5'!$D:$D,B52)=1,IF(VLOOKUP(D52,'Round 5'!$D:$Q,14,FALSE)="",0,IF(A52&gt;=5,VLOOKUP(D52,'Round 5'!$D:$Q,14,FALSE),0)),0))</f>
        <v/>
      </c>
      <c r="S52" s="103" t="str">
        <f>IF(D52="","",IF(COUNTIF('Round 5'!$D:$D,B52)=1,IF(VLOOKUP(D52,'Round 5'!$D:$Q,14,FALSE)="",0,IF(A52&gt;=5,VLOOKUP(D52,'Round 5'!$D:$K,8,FALSE),0)),0))</f>
        <v/>
      </c>
      <c r="T52" s="108" t="str">
        <f t="shared" si="0"/>
        <v/>
      </c>
      <c r="U52" s="137" t="str">
        <f t="shared" si="1"/>
        <v/>
      </c>
    </row>
    <row r="53" spans="1:21" x14ac:dyDescent="0.3">
      <c r="A53" s="82">
        <f>IF(D11="",0,'Tournament Details'!G4)</f>
        <v>0</v>
      </c>
      <c r="B53" s="90">
        <v>43</v>
      </c>
      <c r="C53" s="112" t="str">
        <f>IF('Tournament Details'!C49="","",B53)</f>
        <v/>
      </c>
      <c r="D53" s="105" t="str">
        <f>IF('Tournament Details'!C49="","",VLOOKUP(C53,'Tournament Details'!$B:$C,2,FALSE))</f>
        <v/>
      </c>
      <c r="E53" s="113" t="str">
        <f>IF(D53="","",VLOOKUP(D53,'Tournament Details'!$C:$H,6,FALSE))</f>
        <v/>
      </c>
      <c r="F53" s="113" t="str">
        <f>IF(D53="","",VLOOKUP(D53,'Tournament Details'!$C:$D,2,FALSE))</f>
        <v/>
      </c>
      <c r="G53" s="114" t="str">
        <f>IF(D53="","",VLOOKUP(D53,'Tournament Details'!$C:$E,3,FALSE))</f>
        <v/>
      </c>
      <c r="H53" s="268" t="str">
        <f>IF(D53="","",IF(VLOOKUP(D53,'Tournament Details'!$C:$G,5,FALSE)="","",VLOOKUP(D53,'Tournament Details'!$C:$G,5,FALSE)))</f>
        <v/>
      </c>
      <c r="I53" s="269"/>
      <c r="J53" s="155" t="str">
        <f>IF(D53="","",IF(COUNTIF('Round 1'!$D:$D,B53)=1,IF(VLOOKUP(D53,'Round 1'!$D:$Q,14,FALSE)="",0,IF(A53&gt;=1,VLOOKUP(D53,'Round 1'!$D:$Q,14,FALSE),0)),0))</f>
        <v/>
      </c>
      <c r="K53" s="95" t="str">
        <f>IF(D53="","",IF(COUNTIF('Round 1'!$D:$D,B53)=1,IF(VLOOKUP(D53,'Round 1'!$D:$Q,14,FALSE)="",0,IF(A53&gt;=1,VLOOKUP(D53,'Round 1'!$D:$K,8,FALSE),0)),0))</f>
        <v/>
      </c>
      <c r="L53" s="96" t="str">
        <f>IF(D53="","",IF(COUNTIF('Round 2'!$D:$D,B53)=1,IF(VLOOKUP(D53,'Round 2'!$D:$Q,14,FALSE)="",0,IF(A53&gt;=2,VLOOKUP(D53,'Round 2'!$D:$Q,14,FALSE),0)),0))</f>
        <v/>
      </c>
      <c r="M53" s="97" t="str">
        <f>IF(D53="","",IF(COUNTIF('Round 2'!$D:$D,B53)=1,IF(VLOOKUP(D53,'Round 2'!$D:$Q,14,FALSE)="",0,IF(A53&gt;=2,VLOOKUP(D53,'Round 2'!$D:$K,8,FALSE),0)),0))</f>
        <v/>
      </c>
      <c r="N53" s="98" t="str">
        <f>IF(D53="","",IF(COUNTIF('Round 3'!$D:$D,B53)=1,IF(VLOOKUP(D53,'Round 3'!$D:$Q,14,FALSE)="",0,IF(A53&gt;=3,VLOOKUP(D53,'Round 3'!$D:$Q,14,FALSE),0)),0))</f>
        <v/>
      </c>
      <c r="O53" s="99" t="str">
        <f>IF(D53="","",IF(COUNTIF('Round 3'!$D:$D,B53)=1,IF(VLOOKUP(D53,'Round 3'!$D:$Q,14,FALSE)="",0,IF(A53&gt;=3,VLOOKUP(D53,'Round 3'!$D:$K,8,FALSE),0)),0))</f>
        <v/>
      </c>
      <c r="P53" s="100" t="str">
        <f>IF(D53="","",IF(COUNTIF('Round 4'!$D:$D,B53)=1,IF(VLOOKUP(D53,'Round 4'!$D:$Q,14,FALSE)="",0,IF(A53&gt;=4,VLOOKUP(D53,'Round 4'!$D:$Q,14,FALSE),0)),0))</f>
        <v/>
      </c>
      <c r="Q53" s="101" t="str">
        <f>IF(D53="","",IF(COUNTIF('Round 4'!$D:$D,B53)=1,IF(VLOOKUP(D53,'Round 4'!$D:$Q,14,FALSE)="",0,IF(A53&gt;=4,VLOOKUP(D53,'Round 4'!$D:$K,8,FALSE),0)),0))</f>
        <v/>
      </c>
      <c r="R53" s="102" t="str">
        <f>IF(D53="","",IF(COUNTIF('Round 5'!$D:$D,B53)=1,IF(VLOOKUP(D53,'Round 5'!$D:$Q,14,FALSE)="",0,IF(A53&gt;=5,VLOOKUP(D53,'Round 5'!$D:$Q,14,FALSE),0)),0))</f>
        <v/>
      </c>
      <c r="S53" s="103" t="str">
        <f>IF(D53="","",IF(COUNTIF('Round 5'!$D:$D,B53)=1,IF(VLOOKUP(D53,'Round 5'!$D:$Q,14,FALSE)="",0,IF(A53&gt;=5,VLOOKUP(D53,'Round 5'!$D:$K,8,FALSE),0)),0))</f>
        <v/>
      </c>
      <c r="T53" s="108" t="str">
        <f t="shared" si="0"/>
        <v/>
      </c>
      <c r="U53" s="137" t="str">
        <f t="shared" si="1"/>
        <v/>
      </c>
    </row>
    <row r="54" spans="1:21" x14ac:dyDescent="0.3">
      <c r="A54" s="82">
        <f>IF(D11="",0,'Tournament Details'!G4)</f>
        <v>0</v>
      </c>
      <c r="B54" s="90">
        <v>44</v>
      </c>
      <c r="C54" s="112" t="str">
        <f>IF('Tournament Details'!C50="","",B54)</f>
        <v/>
      </c>
      <c r="D54" s="105" t="str">
        <f>IF('Tournament Details'!C50="","",VLOOKUP(C54,'Tournament Details'!$B:$C,2,FALSE))</f>
        <v/>
      </c>
      <c r="E54" s="113" t="str">
        <f>IF(D54="","",VLOOKUP(D54,'Tournament Details'!$C:$H,6,FALSE))</f>
        <v/>
      </c>
      <c r="F54" s="113" t="str">
        <f>IF(D54="","",VLOOKUP(D54,'Tournament Details'!$C:$D,2,FALSE))</f>
        <v/>
      </c>
      <c r="G54" s="114" t="str">
        <f>IF(D54="","",VLOOKUP(D54,'Tournament Details'!$C:$E,3,FALSE))</f>
        <v/>
      </c>
      <c r="H54" s="268" t="str">
        <f>IF(D54="","",IF(VLOOKUP(D54,'Tournament Details'!$C:$G,5,FALSE)="","",VLOOKUP(D54,'Tournament Details'!$C:$G,5,FALSE)))</f>
        <v/>
      </c>
      <c r="I54" s="269"/>
      <c r="J54" s="155" t="str">
        <f>IF(D54="","",IF(COUNTIF('Round 1'!$D:$D,B54)=1,IF(VLOOKUP(D54,'Round 1'!$D:$Q,14,FALSE)="",0,IF(A54&gt;=1,VLOOKUP(D54,'Round 1'!$D:$Q,14,FALSE),0)),0))</f>
        <v/>
      </c>
      <c r="K54" s="95" t="str">
        <f>IF(D54="","",IF(COUNTIF('Round 1'!$D:$D,B54)=1,IF(VLOOKUP(D54,'Round 1'!$D:$Q,14,FALSE)="",0,IF(A54&gt;=1,VLOOKUP(D54,'Round 1'!$D:$K,8,FALSE),0)),0))</f>
        <v/>
      </c>
      <c r="L54" s="96" t="str">
        <f>IF(D54="","",IF(COUNTIF('Round 2'!$D:$D,B54)=1,IF(VLOOKUP(D54,'Round 2'!$D:$Q,14,FALSE)="",0,IF(A54&gt;=2,VLOOKUP(D54,'Round 2'!$D:$Q,14,FALSE),0)),0))</f>
        <v/>
      </c>
      <c r="M54" s="97" t="str">
        <f>IF(D54="","",IF(COUNTIF('Round 2'!$D:$D,B54)=1,IF(VLOOKUP(D54,'Round 2'!$D:$Q,14,FALSE)="",0,IF(A54&gt;=2,VLOOKUP(D54,'Round 2'!$D:$K,8,FALSE),0)),0))</f>
        <v/>
      </c>
      <c r="N54" s="98" t="str">
        <f>IF(D54="","",IF(COUNTIF('Round 3'!$D:$D,B54)=1,IF(VLOOKUP(D54,'Round 3'!$D:$Q,14,FALSE)="",0,IF(A54&gt;=3,VLOOKUP(D54,'Round 3'!$D:$Q,14,FALSE),0)),0))</f>
        <v/>
      </c>
      <c r="O54" s="99" t="str">
        <f>IF(D54="","",IF(COUNTIF('Round 3'!$D:$D,B54)=1,IF(VLOOKUP(D54,'Round 3'!$D:$Q,14,FALSE)="",0,IF(A54&gt;=3,VLOOKUP(D54,'Round 3'!$D:$K,8,FALSE),0)),0))</f>
        <v/>
      </c>
      <c r="P54" s="100" t="str">
        <f>IF(D54="","",IF(COUNTIF('Round 4'!$D:$D,B54)=1,IF(VLOOKUP(D54,'Round 4'!$D:$Q,14,FALSE)="",0,IF(A54&gt;=4,VLOOKUP(D54,'Round 4'!$D:$Q,14,FALSE),0)),0))</f>
        <v/>
      </c>
      <c r="Q54" s="101" t="str">
        <f>IF(D54="","",IF(COUNTIF('Round 4'!$D:$D,B54)=1,IF(VLOOKUP(D54,'Round 4'!$D:$Q,14,FALSE)="",0,IF(A54&gt;=4,VLOOKUP(D54,'Round 4'!$D:$K,8,FALSE),0)),0))</f>
        <v/>
      </c>
      <c r="R54" s="102" t="str">
        <f>IF(D54="","",IF(COUNTIF('Round 5'!$D:$D,B54)=1,IF(VLOOKUP(D54,'Round 5'!$D:$Q,14,FALSE)="",0,IF(A54&gt;=5,VLOOKUP(D54,'Round 5'!$D:$Q,14,FALSE),0)),0))</f>
        <v/>
      </c>
      <c r="S54" s="103" t="str">
        <f>IF(D54="","",IF(COUNTIF('Round 5'!$D:$D,B54)=1,IF(VLOOKUP(D54,'Round 5'!$D:$Q,14,FALSE)="",0,IF(A54&gt;=5,VLOOKUP(D54,'Round 5'!$D:$K,8,FALSE),0)),0))</f>
        <v/>
      </c>
      <c r="T54" s="108" t="str">
        <f t="shared" si="0"/>
        <v/>
      </c>
      <c r="U54" s="137" t="str">
        <f t="shared" si="1"/>
        <v/>
      </c>
    </row>
    <row r="55" spans="1:21" x14ac:dyDescent="0.3">
      <c r="A55" s="82">
        <f>IF(D11="",0,'Tournament Details'!G4)</f>
        <v>0</v>
      </c>
      <c r="B55" s="90">
        <v>45</v>
      </c>
      <c r="C55" s="112" t="str">
        <f>IF('Tournament Details'!C51="","",B55)</f>
        <v/>
      </c>
      <c r="D55" s="105" t="str">
        <f>IF('Tournament Details'!C51="","",VLOOKUP(C55,'Tournament Details'!$B:$C,2,FALSE))</f>
        <v/>
      </c>
      <c r="E55" s="113" t="str">
        <f>IF(D55="","",VLOOKUP(D55,'Tournament Details'!$C:$H,6,FALSE))</f>
        <v/>
      </c>
      <c r="F55" s="113" t="str">
        <f>IF(D55="","",VLOOKUP(D55,'Tournament Details'!$C:$D,2,FALSE))</f>
        <v/>
      </c>
      <c r="G55" s="114" t="str">
        <f>IF(D55="","",VLOOKUP(D55,'Tournament Details'!$C:$E,3,FALSE))</f>
        <v/>
      </c>
      <c r="H55" s="268" t="str">
        <f>IF(D55="","",IF(VLOOKUP(D55,'Tournament Details'!$C:$G,5,FALSE)="","",VLOOKUP(D55,'Tournament Details'!$C:$G,5,FALSE)))</f>
        <v/>
      </c>
      <c r="I55" s="269"/>
      <c r="J55" s="155" t="str">
        <f>IF(D55="","",IF(COUNTIF('Round 1'!$D:$D,B55)=1,IF(VLOOKUP(D55,'Round 1'!$D:$Q,14,FALSE)="",0,IF(A55&gt;=1,VLOOKUP(D55,'Round 1'!$D:$Q,14,FALSE),0)),0))</f>
        <v/>
      </c>
      <c r="K55" s="95" t="str">
        <f>IF(D55="","",IF(COUNTIF('Round 1'!$D:$D,B55)=1,IF(VLOOKUP(D55,'Round 1'!$D:$Q,14,FALSE)="",0,IF(A55&gt;=1,VLOOKUP(D55,'Round 1'!$D:$K,8,FALSE),0)),0))</f>
        <v/>
      </c>
      <c r="L55" s="96" t="str">
        <f>IF(D55="","",IF(COUNTIF('Round 2'!$D:$D,B55)=1,IF(VLOOKUP(D55,'Round 2'!$D:$Q,14,FALSE)="",0,IF(A55&gt;=2,VLOOKUP(D55,'Round 2'!$D:$Q,14,FALSE),0)),0))</f>
        <v/>
      </c>
      <c r="M55" s="97" t="str">
        <f>IF(D55="","",IF(COUNTIF('Round 2'!$D:$D,B55)=1,IF(VLOOKUP(D55,'Round 2'!$D:$Q,14,FALSE)="",0,IF(A55&gt;=2,VLOOKUP(D55,'Round 2'!$D:$K,8,FALSE),0)),0))</f>
        <v/>
      </c>
      <c r="N55" s="98" t="str">
        <f>IF(D55="","",IF(COUNTIF('Round 3'!$D:$D,B55)=1,IF(VLOOKUP(D55,'Round 3'!$D:$Q,14,FALSE)="",0,IF(A55&gt;=3,VLOOKUP(D55,'Round 3'!$D:$Q,14,FALSE),0)),0))</f>
        <v/>
      </c>
      <c r="O55" s="99" t="str">
        <f>IF(D55="","",IF(COUNTIF('Round 3'!$D:$D,B55)=1,IF(VLOOKUP(D55,'Round 3'!$D:$Q,14,FALSE)="",0,IF(A55&gt;=3,VLOOKUP(D55,'Round 3'!$D:$K,8,FALSE),0)),0))</f>
        <v/>
      </c>
      <c r="P55" s="100" t="str">
        <f>IF(D55="","",IF(COUNTIF('Round 4'!$D:$D,B55)=1,IF(VLOOKUP(D55,'Round 4'!$D:$Q,14,FALSE)="",0,IF(A55&gt;=4,VLOOKUP(D55,'Round 4'!$D:$Q,14,FALSE),0)),0))</f>
        <v/>
      </c>
      <c r="Q55" s="101" t="str">
        <f>IF(D55="","",IF(COUNTIF('Round 4'!$D:$D,B55)=1,IF(VLOOKUP(D55,'Round 4'!$D:$Q,14,FALSE)="",0,IF(A55&gt;=4,VLOOKUP(D55,'Round 4'!$D:$K,8,FALSE),0)),0))</f>
        <v/>
      </c>
      <c r="R55" s="102" t="str">
        <f>IF(D55="","",IF(COUNTIF('Round 5'!$D:$D,B55)=1,IF(VLOOKUP(D55,'Round 5'!$D:$Q,14,FALSE)="",0,IF(A55&gt;=5,VLOOKUP(D55,'Round 5'!$D:$Q,14,FALSE),0)),0))</f>
        <v/>
      </c>
      <c r="S55" s="103" t="str">
        <f>IF(D55="","",IF(COUNTIF('Round 5'!$D:$D,B55)=1,IF(VLOOKUP(D55,'Round 5'!$D:$Q,14,FALSE)="",0,IF(A55&gt;=5,VLOOKUP(D55,'Round 5'!$D:$K,8,FALSE),0)),0))</f>
        <v/>
      </c>
      <c r="T55" s="108" t="str">
        <f t="shared" si="0"/>
        <v/>
      </c>
      <c r="U55" s="137" t="str">
        <f t="shared" si="1"/>
        <v/>
      </c>
    </row>
    <row r="56" spans="1:21" x14ac:dyDescent="0.3">
      <c r="A56" s="82">
        <f>IF(D11="",0,'Tournament Details'!G4)</f>
        <v>0</v>
      </c>
      <c r="B56" s="90">
        <v>46</v>
      </c>
      <c r="C56" s="112" t="str">
        <f>IF('Tournament Details'!C52="","",B56)</f>
        <v/>
      </c>
      <c r="D56" s="105" t="str">
        <f>IF('Tournament Details'!C52="","",VLOOKUP(C56,'Tournament Details'!$B:$C,2,FALSE))</f>
        <v/>
      </c>
      <c r="E56" s="113" t="str">
        <f>IF(D56="","",VLOOKUP(D56,'Tournament Details'!$C:$H,6,FALSE))</f>
        <v/>
      </c>
      <c r="F56" s="113" t="str">
        <f>IF(D56="","",VLOOKUP(D56,'Tournament Details'!$C:$D,2,FALSE))</f>
        <v/>
      </c>
      <c r="G56" s="114" t="str">
        <f>IF(D56="","",VLOOKUP(D56,'Tournament Details'!$C:$E,3,FALSE))</f>
        <v/>
      </c>
      <c r="H56" s="268" t="str">
        <f>IF(D56="","",IF(VLOOKUP(D56,'Tournament Details'!$C:$G,5,FALSE)="","",VLOOKUP(D56,'Tournament Details'!$C:$G,5,FALSE)))</f>
        <v/>
      </c>
      <c r="I56" s="269"/>
      <c r="J56" s="155" t="str">
        <f>IF(D56="","",IF(COUNTIF('Round 1'!$D:$D,B56)=1,IF(VLOOKUP(D56,'Round 1'!$D:$Q,14,FALSE)="",0,IF(A56&gt;=1,VLOOKUP(D56,'Round 1'!$D:$Q,14,FALSE),0)),0))</f>
        <v/>
      </c>
      <c r="K56" s="95" t="str">
        <f>IF(D56="","",IF(COUNTIF('Round 1'!$D:$D,B56)=1,IF(VLOOKUP(D56,'Round 1'!$D:$Q,14,FALSE)="",0,IF(A56&gt;=1,VLOOKUP(D56,'Round 1'!$D:$K,8,FALSE),0)),0))</f>
        <v/>
      </c>
      <c r="L56" s="96" t="str">
        <f>IF(D56="","",IF(COUNTIF('Round 2'!$D:$D,B56)=1,IF(VLOOKUP(D56,'Round 2'!$D:$Q,14,FALSE)="",0,IF(A56&gt;=2,VLOOKUP(D56,'Round 2'!$D:$Q,14,FALSE),0)),0))</f>
        <v/>
      </c>
      <c r="M56" s="97" t="str">
        <f>IF(D56="","",IF(COUNTIF('Round 2'!$D:$D,B56)=1,IF(VLOOKUP(D56,'Round 2'!$D:$Q,14,FALSE)="",0,IF(A56&gt;=2,VLOOKUP(D56,'Round 2'!$D:$K,8,FALSE),0)),0))</f>
        <v/>
      </c>
      <c r="N56" s="98" t="str">
        <f>IF(D56="","",IF(COUNTIF('Round 3'!$D:$D,B56)=1,IF(VLOOKUP(D56,'Round 3'!$D:$Q,14,FALSE)="",0,IF(A56&gt;=3,VLOOKUP(D56,'Round 3'!$D:$Q,14,FALSE),0)),0))</f>
        <v/>
      </c>
      <c r="O56" s="99" t="str">
        <f>IF(D56="","",IF(COUNTIF('Round 3'!$D:$D,B56)=1,IF(VLOOKUP(D56,'Round 3'!$D:$Q,14,FALSE)="",0,IF(A56&gt;=3,VLOOKUP(D56,'Round 3'!$D:$K,8,FALSE),0)),0))</f>
        <v/>
      </c>
      <c r="P56" s="100" t="str">
        <f>IF(D56="","",IF(COUNTIF('Round 4'!$D:$D,B56)=1,IF(VLOOKUP(D56,'Round 4'!$D:$Q,14,FALSE)="",0,IF(A56&gt;=4,VLOOKUP(D56,'Round 4'!$D:$Q,14,FALSE),0)),0))</f>
        <v/>
      </c>
      <c r="Q56" s="101" t="str">
        <f>IF(D56="","",IF(COUNTIF('Round 4'!$D:$D,B56)=1,IF(VLOOKUP(D56,'Round 4'!$D:$Q,14,FALSE)="",0,IF(A56&gt;=4,VLOOKUP(D56,'Round 4'!$D:$K,8,FALSE),0)),0))</f>
        <v/>
      </c>
      <c r="R56" s="102" t="str">
        <f>IF(D56="","",IF(COUNTIF('Round 5'!$D:$D,B56)=1,IF(VLOOKUP(D56,'Round 5'!$D:$Q,14,FALSE)="",0,IF(A56&gt;=5,VLOOKUP(D56,'Round 5'!$D:$Q,14,FALSE),0)),0))</f>
        <v/>
      </c>
      <c r="S56" s="103" t="str">
        <f>IF(D56="","",IF(COUNTIF('Round 5'!$D:$D,B56)=1,IF(VLOOKUP(D56,'Round 5'!$D:$Q,14,FALSE)="",0,IF(A56&gt;=5,VLOOKUP(D56,'Round 5'!$D:$K,8,FALSE),0)),0))</f>
        <v/>
      </c>
      <c r="T56" s="108" t="str">
        <f t="shared" si="0"/>
        <v/>
      </c>
      <c r="U56" s="137" t="str">
        <f t="shared" si="1"/>
        <v/>
      </c>
    </row>
    <row r="57" spans="1:21" x14ac:dyDescent="0.3">
      <c r="A57" s="82">
        <f>IF(D11="",0,'Tournament Details'!G4)</f>
        <v>0</v>
      </c>
      <c r="B57" s="90">
        <v>47</v>
      </c>
      <c r="C57" s="112" t="str">
        <f>IF('Tournament Details'!C53="","",B57)</f>
        <v/>
      </c>
      <c r="D57" s="105" t="str">
        <f>IF('Tournament Details'!C53="","",VLOOKUP(C57,'Tournament Details'!$B:$C,2,FALSE))</f>
        <v/>
      </c>
      <c r="E57" s="113" t="str">
        <f>IF(D57="","",VLOOKUP(D57,'Tournament Details'!$C:$H,6,FALSE))</f>
        <v/>
      </c>
      <c r="F57" s="113" t="str">
        <f>IF(D57="","",VLOOKUP(D57,'Tournament Details'!$C:$D,2,FALSE))</f>
        <v/>
      </c>
      <c r="G57" s="114" t="str">
        <f>IF(D57="","",VLOOKUP(D57,'Tournament Details'!$C:$E,3,FALSE))</f>
        <v/>
      </c>
      <c r="H57" s="268" t="str">
        <f>IF(D57="","",IF(VLOOKUP(D57,'Tournament Details'!$C:$G,5,FALSE)="","",VLOOKUP(D57,'Tournament Details'!$C:$G,5,FALSE)))</f>
        <v/>
      </c>
      <c r="I57" s="269"/>
      <c r="J57" s="155" t="str">
        <f>IF(D57="","",IF(COUNTIF('Round 1'!$D:$D,B57)=1,IF(VLOOKUP(D57,'Round 1'!$D:$Q,14,FALSE)="",0,IF(A57&gt;=1,VLOOKUP(D57,'Round 1'!$D:$Q,14,FALSE),0)),0))</f>
        <v/>
      </c>
      <c r="K57" s="95" t="str">
        <f>IF(D57="","",IF(COUNTIF('Round 1'!$D:$D,B57)=1,IF(VLOOKUP(D57,'Round 1'!$D:$Q,14,FALSE)="",0,IF(A57&gt;=1,VLOOKUP(D57,'Round 1'!$D:$K,8,FALSE),0)),0))</f>
        <v/>
      </c>
      <c r="L57" s="96" t="str">
        <f>IF(D57="","",IF(COUNTIF('Round 2'!$D:$D,B57)=1,IF(VLOOKUP(D57,'Round 2'!$D:$Q,14,FALSE)="",0,IF(A57&gt;=2,VLOOKUP(D57,'Round 2'!$D:$Q,14,FALSE),0)),0))</f>
        <v/>
      </c>
      <c r="M57" s="97" t="str">
        <f>IF(D57="","",IF(COUNTIF('Round 2'!$D:$D,B57)=1,IF(VLOOKUP(D57,'Round 2'!$D:$Q,14,FALSE)="",0,IF(A57&gt;=2,VLOOKUP(D57,'Round 2'!$D:$K,8,FALSE),0)),0))</f>
        <v/>
      </c>
      <c r="N57" s="98" t="str">
        <f>IF(D57="","",IF(COUNTIF('Round 3'!$D:$D,B57)=1,IF(VLOOKUP(D57,'Round 3'!$D:$Q,14,FALSE)="",0,IF(A57&gt;=3,VLOOKUP(D57,'Round 3'!$D:$Q,14,FALSE),0)),0))</f>
        <v/>
      </c>
      <c r="O57" s="99" t="str">
        <f>IF(D57="","",IF(COUNTIF('Round 3'!$D:$D,B57)=1,IF(VLOOKUP(D57,'Round 3'!$D:$Q,14,FALSE)="",0,IF(A57&gt;=3,VLOOKUP(D57,'Round 3'!$D:$K,8,FALSE),0)),0))</f>
        <v/>
      </c>
      <c r="P57" s="100" t="str">
        <f>IF(D57="","",IF(COUNTIF('Round 4'!$D:$D,B57)=1,IF(VLOOKUP(D57,'Round 4'!$D:$Q,14,FALSE)="",0,IF(A57&gt;=4,VLOOKUP(D57,'Round 4'!$D:$Q,14,FALSE),0)),0))</f>
        <v/>
      </c>
      <c r="Q57" s="101" t="str">
        <f>IF(D57="","",IF(COUNTIF('Round 4'!$D:$D,B57)=1,IF(VLOOKUP(D57,'Round 4'!$D:$Q,14,FALSE)="",0,IF(A57&gt;=4,VLOOKUP(D57,'Round 4'!$D:$K,8,FALSE),0)),0))</f>
        <v/>
      </c>
      <c r="R57" s="102" t="str">
        <f>IF(D57="","",IF(COUNTIF('Round 5'!$D:$D,B57)=1,IF(VLOOKUP(D57,'Round 5'!$D:$Q,14,FALSE)="",0,IF(A57&gt;=5,VLOOKUP(D57,'Round 5'!$D:$Q,14,FALSE),0)),0))</f>
        <v/>
      </c>
      <c r="S57" s="103" t="str">
        <f>IF(D57="","",IF(COUNTIF('Round 5'!$D:$D,B57)=1,IF(VLOOKUP(D57,'Round 5'!$D:$Q,14,FALSE)="",0,IF(A57&gt;=5,VLOOKUP(D57,'Round 5'!$D:$K,8,FALSE),0)),0))</f>
        <v/>
      </c>
      <c r="T57" s="108" t="str">
        <f t="shared" si="0"/>
        <v/>
      </c>
      <c r="U57" s="137" t="str">
        <f t="shared" si="1"/>
        <v/>
      </c>
    </row>
    <row r="58" spans="1:21" x14ac:dyDescent="0.3">
      <c r="A58" s="82">
        <f>IF(D11="",0,'Tournament Details'!G4)</f>
        <v>0</v>
      </c>
      <c r="B58" s="90">
        <v>48</v>
      </c>
      <c r="C58" s="112" t="str">
        <f>IF('Tournament Details'!C54="","",B58)</f>
        <v/>
      </c>
      <c r="D58" s="105" t="str">
        <f>IF('Tournament Details'!C54="","",VLOOKUP(C58,'Tournament Details'!$B:$C,2,FALSE))</f>
        <v/>
      </c>
      <c r="E58" s="113" t="str">
        <f>IF(D58="","",VLOOKUP(D58,'Tournament Details'!$C:$H,6,FALSE))</f>
        <v/>
      </c>
      <c r="F58" s="113" t="str">
        <f>IF(D58="","",VLOOKUP(D58,'Tournament Details'!$C:$D,2,FALSE))</f>
        <v/>
      </c>
      <c r="G58" s="114" t="str">
        <f>IF(D58="","",VLOOKUP(D58,'Tournament Details'!$C:$E,3,FALSE))</f>
        <v/>
      </c>
      <c r="H58" s="268" t="str">
        <f>IF(D58="","",IF(VLOOKUP(D58,'Tournament Details'!$C:$G,5,FALSE)="","",VLOOKUP(D58,'Tournament Details'!$C:$G,5,FALSE)))</f>
        <v/>
      </c>
      <c r="I58" s="269"/>
      <c r="J58" s="155" t="str">
        <f>IF(D58="","",IF(COUNTIF('Round 1'!$D:$D,B58)=1,IF(VLOOKUP(D58,'Round 1'!$D:$Q,14,FALSE)="",0,IF(A58&gt;=1,VLOOKUP(D58,'Round 1'!$D:$Q,14,FALSE),0)),0))</f>
        <v/>
      </c>
      <c r="K58" s="95" t="str">
        <f>IF(D58="","",IF(COUNTIF('Round 1'!$D:$D,B58)=1,IF(VLOOKUP(D58,'Round 1'!$D:$Q,14,FALSE)="",0,IF(A58&gt;=1,VLOOKUP(D58,'Round 1'!$D:$K,8,FALSE),0)),0))</f>
        <v/>
      </c>
      <c r="L58" s="96" t="str">
        <f>IF(D58="","",IF(COUNTIF('Round 2'!$D:$D,B58)=1,IF(VLOOKUP(D58,'Round 2'!$D:$Q,14,FALSE)="",0,IF(A58&gt;=2,VLOOKUP(D58,'Round 2'!$D:$Q,14,FALSE),0)),0))</f>
        <v/>
      </c>
      <c r="M58" s="97" t="str">
        <f>IF(D58="","",IF(COUNTIF('Round 2'!$D:$D,B58)=1,IF(VLOOKUP(D58,'Round 2'!$D:$Q,14,FALSE)="",0,IF(A58&gt;=2,VLOOKUP(D58,'Round 2'!$D:$K,8,FALSE),0)),0))</f>
        <v/>
      </c>
      <c r="N58" s="98" t="str">
        <f>IF(D58="","",IF(COUNTIF('Round 3'!$D:$D,B58)=1,IF(VLOOKUP(D58,'Round 3'!$D:$Q,14,FALSE)="",0,IF(A58&gt;=3,VLOOKUP(D58,'Round 3'!$D:$Q,14,FALSE),0)),0))</f>
        <v/>
      </c>
      <c r="O58" s="99" t="str">
        <f>IF(D58="","",IF(COUNTIF('Round 3'!$D:$D,B58)=1,IF(VLOOKUP(D58,'Round 3'!$D:$Q,14,FALSE)="",0,IF(A58&gt;=3,VLOOKUP(D58,'Round 3'!$D:$K,8,FALSE),0)),0))</f>
        <v/>
      </c>
      <c r="P58" s="100" t="str">
        <f>IF(D58="","",IF(COUNTIF('Round 4'!$D:$D,B58)=1,IF(VLOOKUP(D58,'Round 4'!$D:$Q,14,FALSE)="",0,IF(A58&gt;=4,VLOOKUP(D58,'Round 4'!$D:$Q,14,FALSE),0)),0))</f>
        <v/>
      </c>
      <c r="Q58" s="101" t="str">
        <f>IF(D58="","",IF(COUNTIF('Round 4'!$D:$D,B58)=1,IF(VLOOKUP(D58,'Round 4'!$D:$Q,14,FALSE)="",0,IF(A58&gt;=4,VLOOKUP(D58,'Round 4'!$D:$K,8,FALSE),0)),0))</f>
        <v/>
      </c>
      <c r="R58" s="102" t="str">
        <f>IF(D58="","",IF(COUNTIF('Round 5'!$D:$D,B58)=1,IF(VLOOKUP(D58,'Round 5'!$D:$Q,14,FALSE)="",0,IF(A58&gt;=5,VLOOKUP(D58,'Round 5'!$D:$Q,14,FALSE),0)),0))</f>
        <v/>
      </c>
      <c r="S58" s="103" t="str">
        <f>IF(D58="","",IF(COUNTIF('Round 5'!$D:$D,B58)=1,IF(VLOOKUP(D58,'Round 5'!$D:$Q,14,FALSE)="",0,IF(A58&gt;=5,VLOOKUP(D58,'Round 5'!$D:$K,8,FALSE),0)),0))</f>
        <v/>
      </c>
      <c r="T58" s="108" t="str">
        <f t="shared" si="0"/>
        <v/>
      </c>
      <c r="U58" s="137" t="str">
        <f t="shared" si="1"/>
        <v/>
      </c>
    </row>
    <row r="59" spans="1:21" x14ac:dyDescent="0.3">
      <c r="A59" s="82">
        <f>IF(D11="",0,'Tournament Details'!G4)</f>
        <v>0</v>
      </c>
      <c r="B59" s="90">
        <v>49</v>
      </c>
      <c r="C59" s="112" t="str">
        <f>IF('Tournament Details'!C55="","",B59)</f>
        <v/>
      </c>
      <c r="D59" s="105" t="str">
        <f>IF('Tournament Details'!C55="","",VLOOKUP(C59,'Tournament Details'!$B:$C,2,FALSE))</f>
        <v/>
      </c>
      <c r="E59" s="113" t="str">
        <f>IF(D59="","",VLOOKUP(D59,'Tournament Details'!$C:$H,6,FALSE))</f>
        <v/>
      </c>
      <c r="F59" s="113" t="str">
        <f>IF(D59="","",VLOOKUP(D59,'Tournament Details'!$C:$D,2,FALSE))</f>
        <v/>
      </c>
      <c r="G59" s="114" t="str">
        <f>IF(D59="","",VLOOKUP(D59,'Tournament Details'!$C:$E,3,FALSE))</f>
        <v/>
      </c>
      <c r="H59" s="268" t="str">
        <f>IF(D59="","",IF(VLOOKUP(D59,'Tournament Details'!$C:$G,5,FALSE)="","",VLOOKUP(D59,'Tournament Details'!$C:$G,5,FALSE)))</f>
        <v/>
      </c>
      <c r="I59" s="269"/>
      <c r="J59" s="155" t="str">
        <f>IF(D59="","",IF(COUNTIF('Round 1'!$D:$D,B59)=1,IF(VLOOKUP(D59,'Round 1'!$D:$Q,14,FALSE)="",0,IF(A59&gt;=1,VLOOKUP(D59,'Round 1'!$D:$Q,14,FALSE),0)),0))</f>
        <v/>
      </c>
      <c r="K59" s="95" t="str">
        <f>IF(D59="","",IF(COUNTIF('Round 1'!$D:$D,B59)=1,IF(VLOOKUP(D59,'Round 1'!$D:$Q,14,FALSE)="",0,IF(A59&gt;=1,VLOOKUP(D59,'Round 1'!$D:$K,8,FALSE),0)),0))</f>
        <v/>
      </c>
      <c r="L59" s="96" t="str">
        <f>IF(D59="","",IF(COUNTIF('Round 2'!$D:$D,B59)=1,IF(VLOOKUP(D59,'Round 2'!$D:$Q,14,FALSE)="",0,IF(A59&gt;=2,VLOOKUP(D59,'Round 2'!$D:$Q,14,FALSE),0)),0))</f>
        <v/>
      </c>
      <c r="M59" s="97" t="str">
        <f>IF(D59="","",IF(COUNTIF('Round 2'!$D:$D,B59)=1,IF(VLOOKUP(D59,'Round 2'!$D:$Q,14,FALSE)="",0,IF(A59&gt;=2,VLOOKUP(D59,'Round 2'!$D:$K,8,FALSE),0)),0))</f>
        <v/>
      </c>
      <c r="N59" s="98" t="str">
        <f>IF(D59="","",IF(COUNTIF('Round 3'!$D:$D,B59)=1,IF(VLOOKUP(D59,'Round 3'!$D:$Q,14,FALSE)="",0,IF(A59&gt;=3,VLOOKUP(D59,'Round 3'!$D:$Q,14,FALSE),0)),0))</f>
        <v/>
      </c>
      <c r="O59" s="99" t="str">
        <f>IF(D59="","",IF(COUNTIF('Round 3'!$D:$D,B59)=1,IF(VLOOKUP(D59,'Round 3'!$D:$Q,14,FALSE)="",0,IF(A59&gt;=3,VLOOKUP(D59,'Round 3'!$D:$K,8,FALSE),0)),0))</f>
        <v/>
      </c>
      <c r="P59" s="100" t="str">
        <f>IF(D59="","",IF(COUNTIF('Round 4'!$D:$D,B59)=1,IF(VLOOKUP(D59,'Round 4'!$D:$Q,14,FALSE)="",0,IF(A59&gt;=4,VLOOKUP(D59,'Round 4'!$D:$Q,14,FALSE),0)),0))</f>
        <v/>
      </c>
      <c r="Q59" s="101" t="str">
        <f>IF(D59="","",IF(COUNTIF('Round 4'!$D:$D,B59)=1,IF(VLOOKUP(D59,'Round 4'!$D:$Q,14,FALSE)="",0,IF(A59&gt;=4,VLOOKUP(D59,'Round 4'!$D:$K,8,FALSE),0)),0))</f>
        <v/>
      </c>
      <c r="R59" s="102" t="str">
        <f>IF(D59="","",IF(COUNTIF('Round 5'!$D:$D,B59)=1,IF(VLOOKUP(D59,'Round 5'!$D:$Q,14,FALSE)="",0,IF(A59&gt;=5,VLOOKUP(D59,'Round 5'!$D:$Q,14,FALSE),0)),0))</f>
        <v/>
      </c>
      <c r="S59" s="103" t="str">
        <f>IF(D59="","",IF(COUNTIF('Round 5'!$D:$D,B59)=1,IF(VLOOKUP(D59,'Round 5'!$D:$Q,14,FALSE)="",0,IF(A59&gt;=5,VLOOKUP(D59,'Round 5'!$D:$K,8,FALSE),0)),0))</f>
        <v/>
      </c>
      <c r="T59" s="108" t="str">
        <f t="shared" si="0"/>
        <v/>
      </c>
      <c r="U59" s="137" t="str">
        <f t="shared" si="1"/>
        <v/>
      </c>
    </row>
    <row r="60" spans="1:21" x14ac:dyDescent="0.3">
      <c r="A60" s="82">
        <f>IF(D11="",0,'Tournament Details'!G4)</f>
        <v>0</v>
      </c>
      <c r="B60" s="90">
        <v>50</v>
      </c>
      <c r="C60" s="112" t="str">
        <f>IF('Tournament Details'!C56="","",B60)</f>
        <v/>
      </c>
      <c r="D60" s="105" t="str">
        <f>IF('Tournament Details'!C56="","",VLOOKUP(C60,'Tournament Details'!$B:$C,2,FALSE))</f>
        <v/>
      </c>
      <c r="E60" s="113" t="str">
        <f>IF(D60="","",VLOOKUP(D60,'Tournament Details'!$C:$H,6,FALSE))</f>
        <v/>
      </c>
      <c r="F60" s="113" t="str">
        <f>IF(D60="","",VLOOKUP(D60,'Tournament Details'!$C:$D,2,FALSE))</f>
        <v/>
      </c>
      <c r="G60" s="114" t="str">
        <f>IF(D60="","",VLOOKUP(D60,'Tournament Details'!$C:$E,3,FALSE))</f>
        <v/>
      </c>
      <c r="H60" s="268" t="str">
        <f>IF(D60="","",IF(VLOOKUP(D60,'Tournament Details'!$C:$G,5,FALSE)="","",VLOOKUP(D60,'Tournament Details'!$C:$G,5,FALSE)))</f>
        <v/>
      </c>
      <c r="I60" s="269"/>
      <c r="J60" s="155" t="str">
        <f>IF(D60="","",IF(COUNTIF('Round 1'!$D:$D,B60)=1,IF(VLOOKUP(D60,'Round 1'!$D:$Q,14,FALSE)="",0,IF(A60&gt;=1,VLOOKUP(D60,'Round 1'!$D:$Q,14,FALSE),0)),0))</f>
        <v/>
      </c>
      <c r="K60" s="95" t="str">
        <f>IF(D60="","",IF(COUNTIF('Round 1'!$D:$D,B60)=1,IF(VLOOKUP(D60,'Round 1'!$D:$Q,14,FALSE)="",0,IF(A60&gt;=1,VLOOKUP(D60,'Round 1'!$D:$K,8,FALSE),0)),0))</f>
        <v/>
      </c>
      <c r="L60" s="96" t="str">
        <f>IF(D60="","",IF(COUNTIF('Round 2'!$D:$D,B60)=1,IF(VLOOKUP(D60,'Round 2'!$D:$Q,14,FALSE)="",0,IF(A60&gt;=2,VLOOKUP(D60,'Round 2'!$D:$Q,14,FALSE),0)),0))</f>
        <v/>
      </c>
      <c r="M60" s="97" t="str">
        <f>IF(D60="","",IF(COUNTIF('Round 2'!$D:$D,B60)=1,IF(VLOOKUP(D60,'Round 2'!$D:$Q,14,FALSE)="",0,IF(A60&gt;=2,VLOOKUP(D60,'Round 2'!$D:$K,8,FALSE),0)),0))</f>
        <v/>
      </c>
      <c r="N60" s="98" t="str">
        <f>IF(D60="","",IF(COUNTIF('Round 3'!$D:$D,B60)=1,IF(VLOOKUP(D60,'Round 3'!$D:$Q,14,FALSE)="",0,IF(A60&gt;=3,VLOOKUP(D60,'Round 3'!$D:$Q,14,FALSE),0)),0))</f>
        <v/>
      </c>
      <c r="O60" s="99" t="str">
        <f>IF(D60="","",IF(COUNTIF('Round 3'!$D:$D,B60)=1,IF(VLOOKUP(D60,'Round 3'!$D:$Q,14,FALSE)="",0,IF(A60&gt;=3,VLOOKUP(D60,'Round 3'!$D:$K,8,FALSE),0)),0))</f>
        <v/>
      </c>
      <c r="P60" s="100" t="str">
        <f>IF(D60="","",IF(COUNTIF('Round 4'!$D:$D,B60)=1,IF(VLOOKUP(D60,'Round 4'!$D:$Q,14,FALSE)="",0,IF(A60&gt;=4,VLOOKUP(D60,'Round 4'!$D:$Q,14,FALSE),0)),0))</f>
        <v/>
      </c>
      <c r="Q60" s="101" t="str">
        <f>IF(D60="","",IF(COUNTIF('Round 4'!$D:$D,B60)=1,IF(VLOOKUP(D60,'Round 4'!$D:$Q,14,FALSE)="",0,IF(A60&gt;=4,VLOOKUP(D60,'Round 4'!$D:$K,8,FALSE),0)),0))</f>
        <v/>
      </c>
      <c r="R60" s="102" t="str">
        <f>IF(D60="","",IF(COUNTIF('Round 5'!$D:$D,B60)=1,IF(VLOOKUP(D60,'Round 5'!$D:$Q,14,FALSE)="",0,IF(A60&gt;=5,VLOOKUP(D60,'Round 5'!$D:$Q,14,FALSE),0)),0))</f>
        <v/>
      </c>
      <c r="S60" s="103" t="str">
        <f>IF(D60="","",IF(COUNTIF('Round 5'!$D:$D,B60)=1,IF(VLOOKUP(D60,'Round 5'!$D:$Q,14,FALSE)="",0,IF(A60&gt;=5,VLOOKUP(D60,'Round 5'!$D:$K,8,FALSE),0)),0))</f>
        <v/>
      </c>
      <c r="T60" s="108" t="str">
        <f t="shared" si="0"/>
        <v/>
      </c>
      <c r="U60" s="137" t="str">
        <f t="shared" si="1"/>
        <v/>
      </c>
    </row>
    <row r="61" spans="1:21" x14ac:dyDescent="0.3">
      <c r="A61" s="82">
        <f>IF(D11="",0,'Tournament Details'!G4)</f>
        <v>0</v>
      </c>
      <c r="B61" s="90">
        <v>51</v>
      </c>
      <c r="C61" s="112" t="str">
        <f>IF('Tournament Details'!C57="","",B61)</f>
        <v/>
      </c>
      <c r="D61" s="105" t="str">
        <f>IF('Tournament Details'!C57="","",VLOOKUP(C61,'Tournament Details'!$B:$C,2,FALSE))</f>
        <v/>
      </c>
      <c r="E61" s="113" t="str">
        <f>IF(D61="","",VLOOKUP(D61,'Tournament Details'!$C:$H,6,FALSE))</f>
        <v/>
      </c>
      <c r="F61" s="113" t="str">
        <f>IF(D61="","",VLOOKUP(D61,'Tournament Details'!$C:$D,2,FALSE))</f>
        <v/>
      </c>
      <c r="G61" s="114" t="str">
        <f>IF(D61="","",VLOOKUP(D61,'Tournament Details'!$C:$E,3,FALSE))</f>
        <v/>
      </c>
      <c r="H61" s="268" t="str">
        <f>IF(D61="","",IF(VLOOKUP(D61,'Tournament Details'!$C:$G,5,FALSE)="","",VLOOKUP(D61,'Tournament Details'!$C:$G,5,FALSE)))</f>
        <v/>
      </c>
      <c r="I61" s="269"/>
      <c r="J61" s="155" t="str">
        <f>IF(D61="","",IF(COUNTIF('Round 1'!$D:$D,B61)=1,IF(VLOOKUP(D61,'Round 1'!$D:$Q,14,FALSE)="",0,IF(A61&gt;=1,VLOOKUP(D61,'Round 1'!$D:$Q,14,FALSE),0)),0))</f>
        <v/>
      </c>
      <c r="K61" s="95" t="str">
        <f>IF(D61="","",IF(COUNTIF('Round 1'!$D:$D,B61)=1,IF(VLOOKUP(D61,'Round 1'!$D:$Q,14,FALSE)="",0,IF(A61&gt;=1,VLOOKUP(D61,'Round 1'!$D:$K,8,FALSE),0)),0))</f>
        <v/>
      </c>
      <c r="L61" s="96" t="str">
        <f>IF(D61="","",IF(COUNTIF('Round 2'!$D:$D,B61)=1,IF(VLOOKUP(D61,'Round 2'!$D:$Q,14,FALSE)="",0,IF(A61&gt;=2,VLOOKUP(D61,'Round 2'!$D:$Q,14,FALSE),0)),0))</f>
        <v/>
      </c>
      <c r="M61" s="97" t="str">
        <f>IF(D61="","",IF(COUNTIF('Round 2'!$D:$D,B61)=1,IF(VLOOKUP(D61,'Round 2'!$D:$Q,14,FALSE)="",0,IF(A61&gt;=2,VLOOKUP(D61,'Round 2'!$D:$K,8,FALSE),0)),0))</f>
        <v/>
      </c>
      <c r="N61" s="98" t="str">
        <f>IF(D61="","",IF(COUNTIF('Round 3'!$D:$D,B61)=1,IF(VLOOKUP(D61,'Round 3'!$D:$Q,14,FALSE)="",0,IF(A61&gt;=3,VLOOKUP(D61,'Round 3'!$D:$Q,14,FALSE),0)),0))</f>
        <v/>
      </c>
      <c r="O61" s="99" t="str">
        <f>IF(D61="","",IF(COUNTIF('Round 3'!$D:$D,B61)=1,IF(VLOOKUP(D61,'Round 3'!$D:$Q,14,FALSE)="",0,IF(A61&gt;=3,VLOOKUP(D61,'Round 3'!$D:$K,8,FALSE),0)),0))</f>
        <v/>
      </c>
      <c r="P61" s="100" t="str">
        <f>IF(D61="","",IF(COUNTIF('Round 4'!$D:$D,B61)=1,IF(VLOOKUP(D61,'Round 4'!$D:$Q,14,FALSE)="",0,IF(A61&gt;=4,VLOOKUP(D61,'Round 4'!$D:$Q,14,FALSE),0)),0))</f>
        <v/>
      </c>
      <c r="Q61" s="101" t="str">
        <f>IF(D61="","",IF(COUNTIF('Round 4'!$D:$D,B61)=1,IF(VLOOKUP(D61,'Round 4'!$D:$Q,14,FALSE)="",0,IF(A61&gt;=4,VLOOKUP(D61,'Round 4'!$D:$K,8,FALSE),0)),0))</f>
        <v/>
      </c>
      <c r="R61" s="102" t="str">
        <f>IF(D61="","",IF(COUNTIF('Round 5'!$D:$D,B61)=1,IF(VLOOKUP(D61,'Round 5'!$D:$Q,14,FALSE)="",0,IF(A61&gt;=5,VLOOKUP(D61,'Round 5'!$D:$Q,14,FALSE),0)),0))</f>
        <v/>
      </c>
      <c r="S61" s="103" t="str">
        <f>IF(D61="","",IF(COUNTIF('Round 5'!$D:$D,B61)=1,IF(VLOOKUP(D61,'Round 5'!$D:$Q,14,FALSE)="",0,IF(A61&gt;=5,VLOOKUP(D61,'Round 5'!$D:$K,8,FALSE),0)),0))</f>
        <v/>
      </c>
      <c r="T61" s="108" t="str">
        <f t="shared" si="0"/>
        <v/>
      </c>
      <c r="U61" s="137" t="str">
        <f t="shared" si="1"/>
        <v/>
      </c>
    </row>
    <row r="62" spans="1:21" x14ac:dyDescent="0.3">
      <c r="A62" s="82">
        <f>IF(D11="",0,'Tournament Details'!G4)</f>
        <v>0</v>
      </c>
      <c r="B62" s="90">
        <v>52</v>
      </c>
      <c r="C62" s="112" t="str">
        <f>IF('Tournament Details'!C58="","",B62)</f>
        <v/>
      </c>
      <c r="D62" s="105" t="str">
        <f>IF('Tournament Details'!C58="","",VLOOKUP(C62,'Tournament Details'!$B:$C,2,FALSE))</f>
        <v/>
      </c>
      <c r="E62" s="113" t="str">
        <f>IF(D62="","",VLOOKUP(D62,'Tournament Details'!$C:$H,6,FALSE))</f>
        <v/>
      </c>
      <c r="F62" s="113" t="str">
        <f>IF(D62="","",VLOOKUP(D62,'Tournament Details'!$C:$D,2,FALSE))</f>
        <v/>
      </c>
      <c r="G62" s="114" t="str">
        <f>IF(D62="","",VLOOKUP(D62,'Tournament Details'!$C:$E,3,FALSE))</f>
        <v/>
      </c>
      <c r="H62" s="268" t="str">
        <f>IF(D62="","",IF(VLOOKUP(D62,'Tournament Details'!$C:$G,5,FALSE)="","",VLOOKUP(D62,'Tournament Details'!$C:$G,5,FALSE)))</f>
        <v/>
      </c>
      <c r="I62" s="269"/>
      <c r="J62" s="155" t="str">
        <f>IF(D62="","",IF(COUNTIF('Round 1'!$D:$D,B62)=1,IF(VLOOKUP(D62,'Round 1'!$D:$Q,14,FALSE)="",0,IF(A62&gt;=1,VLOOKUP(D62,'Round 1'!$D:$Q,14,FALSE),0)),0))</f>
        <v/>
      </c>
      <c r="K62" s="95" t="str">
        <f>IF(D62="","",IF(COUNTIF('Round 1'!$D:$D,B62)=1,IF(VLOOKUP(D62,'Round 1'!$D:$Q,14,FALSE)="",0,IF(A62&gt;=1,VLOOKUP(D62,'Round 1'!$D:$K,8,FALSE),0)),0))</f>
        <v/>
      </c>
      <c r="L62" s="96" t="str">
        <f>IF(D62="","",IF(COUNTIF('Round 2'!$D:$D,B62)=1,IF(VLOOKUP(D62,'Round 2'!$D:$Q,14,FALSE)="",0,IF(A62&gt;=2,VLOOKUP(D62,'Round 2'!$D:$Q,14,FALSE),0)),0))</f>
        <v/>
      </c>
      <c r="M62" s="97" t="str">
        <f>IF(D62="","",IF(COUNTIF('Round 2'!$D:$D,B62)=1,IF(VLOOKUP(D62,'Round 2'!$D:$Q,14,FALSE)="",0,IF(A62&gt;=2,VLOOKUP(D62,'Round 2'!$D:$K,8,FALSE),0)),0))</f>
        <v/>
      </c>
      <c r="N62" s="98" t="str">
        <f>IF(D62="","",IF(COUNTIF('Round 3'!$D:$D,B62)=1,IF(VLOOKUP(D62,'Round 3'!$D:$Q,14,FALSE)="",0,IF(A62&gt;=3,VLOOKUP(D62,'Round 3'!$D:$Q,14,FALSE),0)),0))</f>
        <v/>
      </c>
      <c r="O62" s="99" t="str">
        <f>IF(D62="","",IF(COUNTIF('Round 3'!$D:$D,B62)=1,IF(VLOOKUP(D62,'Round 3'!$D:$Q,14,FALSE)="",0,IF(A62&gt;=3,VLOOKUP(D62,'Round 3'!$D:$K,8,FALSE),0)),0))</f>
        <v/>
      </c>
      <c r="P62" s="100" t="str">
        <f>IF(D62="","",IF(COUNTIF('Round 4'!$D:$D,B62)=1,IF(VLOOKUP(D62,'Round 4'!$D:$Q,14,FALSE)="",0,IF(A62&gt;=4,VLOOKUP(D62,'Round 4'!$D:$Q,14,FALSE),0)),0))</f>
        <v/>
      </c>
      <c r="Q62" s="101" t="str">
        <f>IF(D62="","",IF(COUNTIF('Round 4'!$D:$D,B62)=1,IF(VLOOKUP(D62,'Round 4'!$D:$Q,14,FALSE)="",0,IF(A62&gt;=4,VLOOKUP(D62,'Round 4'!$D:$K,8,FALSE),0)),0))</f>
        <v/>
      </c>
      <c r="R62" s="102" t="str">
        <f>IF(D62="","",IF(COUNTIF('Round 5'!$D:$D,B62)=1,IF(VLOOKUP(D62,'Round 5'!$D:$Q,14,FALSE)="",0,IF(A62&gt;=5,VLOOKUP(D62,'Round 5'!$D:$Q,14,FALSE),0)),0))</f>
        <v/>
      </c>
      <c r="S62" s="103" t="str">
        <f>IF(D62="","",IF(COUNTIF('Round 5'!$D:$D,B62)=1,IF(VLOOKUP(D62,'Round 5'!$D:$Q,14,FALSE)="",0,IF(A62&gt;=5,VLOOKUP(D62,'Round 5'!$D:$K,8,FALSE),0)),0))</f>
        <v/>
      </c>
      <c r="T62" s="108" t="str">
        <f t="shared" si="0"/>
        <v/>
      </c>
      <c r="U62" s="137" t="str">
        <f t="shared" si="1"/>
        <v/>
      </c>
    </row>
    <row r="63" spans="1:21" x14ac:dyDescent="0.3">
      <c r="A63" s="82">
        <f>IF(D11="",0,'Tournament Details'!G4)</f>
        <v>0</v>
      </c>
      <c r="B63" s="90">
        <v>53</v>
      </c>
      <c r="C63" s="112" t="str">
        <f>IF('Tournament Details'!C59="","",B63)</f>
        <v/>
      </c>
      <c r="D63" s="105" t="str">
        <f>IF('Tournament Details'!C59="","",VLOOKUP(C63,'Tournament Details'!$B:$C,2,FALSE))</f>
        <v/>
      </c>
      <c r="E63" s="113" t="str">
        <f>IF(D63="","",VLOOKUP(D63,'Tournament Details'!$C:$H,6,FALSE))</f>
        <v/>
      </c>
      <c r="F63" s="113" t="str">
        <f>IF(D63="","",VLOOKUP(D63,'Tournament Details'!$C:$D,2,FALSE))</f>
        <v/>
      </c>
      <c r="G63" s="114" t="str">
        <f>IF(D63="","",VLOOKUP(D63,'Tournament Details'!$C:$E,3,FALSE))</f>
        <v/>
      </c>
      <c r="H63" s="268" t="str">
        <f>IF(D63="","",IF(VLOOKUP(D63,'Tournament Details'!$C:$G,5,FALSE)="","",VLOOKUP(D63,'Tournament Details'!$C:$G,5,FALSE)))</f>
        <v/>
      </c>
      <c r="I63" s="269"/>
      <c r="J63" s="155" t="str">
        <f>IF(D63="","",IF(COUNTIF('Round 1'!$D:$D,B63)=1,IF(VLOOKUP(D63,'Round 1'!$D:$Q,14,FALSE)="",0,IF(A63&gt;=1,VLOOKUP(D63,'Round 1'!$D:$Q,14,FALSE),0)),0))</f>
        <v/>
      </c>
      <c r="K63" s="95" t="str">
        <f>IF(D63="","",IF(COUNTIF('Round 1'!$D:$D,B63)=1,IF(VLOOKUP(D63,'Round 1'!$D:$Q,14,FALSE)="",0,IF(A63&gt;=1,VLOOKUP(D63,'Round 1'!$D:$K,8,FALSE),0)),0))</f>
        <v/>
      </c>
      <c r="L63" s="96" t="str">
        <f>IF(D63="","",IF(COUNTIF('Round 2'!$D:$D,B63)=1,IF(VLOOKUP(D63,'Round 2'!$D:$Q,14,FALSE)="",0,IF(A63&gt;=2,VLOOKUP(D63,'Round 2'!$D:$Q,14,FALSE),0)),0))</f>
        <v/>
      </c>
      <c r="M63" s="97" t="str">
        <f>IF(D63="","",IF(COUNTIF('Round 2'!$D:$D,B63)=1,IF(VLOOKUP(D63,'Round 2'!$D:$Q,14,FALSE)="",0,IF(A63&gt;=2,VLOOKUP(D63,'Round 2'!$D:$K,8,FALSE),0)),0))</f>
        <v/>
      </c>
      <c r="N63" s="98" t="str">
        <f>IF(D63="","",IF(COUNTIF('Round 3'!$D:$D,B63)=1,IF(VLOOKUP(D63,'Round 3'!$D:$Q,14,FALSE)="",0,IF(A63&gt;=3,VLOOKUP(D63,'Round 3'!$D:$Q,14,FALSE),0)),0))</f>
        <v/>
      </c>
      <c r="O63" s="99" t="str">
        <f>IF(D63="","",IF(COUNTIF('Round 3'!$D:$D,B63)=1,IF(VLOOKUP(D63,'Round 3'!$D:$Q,14,FALSE)="",0,IF(A63&gt;=3,VLOOKUP(D63,'Round 3'!$D:$K,8,FALSE),0)),0))</f>
        <v/>
      </c>
      <c r="P63" s="100" t="str">
        <f>IF(D63="","",IF(COUNTIF('Round 4'!$D:$D,B63)=1,IF(VLOOKUP(D63,'Round 4'!$D:$Q,14,FALSE)="",0,IF(A63&gt;=4,VLOOKUP(D63,'Round 4'!$D:$Q,14,FALSE),0)),0))</f>
        <v/>
      </c>
      <c r="Q63" s="101" t="str">
        <f>IF(D63="","",IF(COUNTIF('Round 4'!$D:$D,B63)=1,IF(VLOOKUP(D63,'Round 4'!$D:$Q,14,FALSE)="",0,IF(A63&gt;=4,VLOOKUP(D63,'Round 4'!$D:$K,8,FALSE),0)),0))</f>
        <v/>
      </c>
      <c r="R63" s="102" t="str">
        <f>IF(D63="","",IF(COUNTIF('Round 5'!$D:$D,B63)=1,IF(VLOOKUP(D63,'Round 5'!$D:$Q,14,FALSE)="",0,IF(A63&gt;=5,VLOOKUP(D63,'Round 5'!$D:$Q,14,FALSE),0)),0))</f>
        <v/>
      </c>
      <c r="S63" s="103" t="str">
        <f>IF(D63="","",IF(COUNTIF('Round 5'!$D:$D,B63)=1,IF(VLOOKUP(D63,'Round 5'!$D:$Q,14,FALSE)="",0,IF(A63&gt;=5,VLOOKUP(D63,'Round 5'!$D:$K,8,FALSE),0)),0))</f>
        <v/>
      </c>
      <c r="T63" s="108" t="str">
        <f t="shared" si="0"/>
        <v/>
      </c>
      <c r="U63" s="137" t="str">
        <f t="shared" si="1"/>
        <v/>
      </c>
    </row>
    <row r="64" spans="1:21" x14ac:dyDescent="0.3">
      <c r="A64" s="82">
        <f>IF(D11="",0,'Tournament Details'!G4)</f>
        <v>0</v>
      </c>
      <c r="B64" s="90">
        <v>54</v>
      </c>
      <c r="C64" s="112" t="str">
        <f>IF('Tournament Details'!C60="","",B64)</f>
        <v/>
      </c>
      <c r="D64" s="105" t="str">
        <f>IF('Tournament Details'!C60="","",VLOOKUP(C64,'Tournament Details'!$B:$C,2,FALSE))</f>
        <v/>
      </c>
      <c r="E64" s="113" t="str">
        <f>IF(D64="","",VLOOKUP(D64,'Tournament Details'!$C:$H,6,FALSE))</f>
        <v/>
      </c>
      <c r="F64" s="113" t="str">
        <f>IF(D64="","",VLOOKUP(D64,'Tournament Details'!$C:$D,2,FALSE))</f>
        <v/>
      </c>
      <c r="G64" s="114" t="str">
        <f>IF(D64="","",VLOOKUP(D64,'Tournament Details'!$C:$E,3,FALSE))</f>
        <v/>
      </c>
      <c r="H64" s="268" t="str">
        <f>IF(D64="","",IF(VLOOKUP(D64,'Tournament Details'!$C:$G,5,FALSE)="","",VLOOKUP(D64,'Tournament Details'!$C:$G,5,FALSE)))</f>
        <v/>
      </c>
      <c r="I64" s="269"/>
      <c r="J64" s="155" t="str">
        <f>IF(D64="","",IF(COUNTIF('Round 1'!$D:$D,B64)=1,IF(VLOOKUP(D64,'Round 1'!$D:$Q,14,FALSE)="",0,IF(A64&gt;=1,VLOOKUP(D64,'Round 1'!$D:$Q,14,FALSE),0)),0))</f>
        <v/>
      </c>
      <c r="K64" s="95" t="str">
        <f>IF(D64="","",IF(COUNTIF('Round 1'!$D:$D,B64)=1,IF(VLOOKUP(D64,'Round 1'!$D:$Q,14,FALSE)="",0,IF(A64&gt;=1,VLOOKUP(D64,'Round 1'!$D:$K,8,FALSE),0)),0))</f>
        <v/>
      </c>
      <c r="L64" s="96" t="str">
        <f>IF(D64="","",IF(COUNTIF('Round 2'!$D:$D,B64)=1,IF(VLOOKUP(D64,'Round 2'!$D:$Q,14,FALSE)="",0,IF(A64&gt;=2,VLOOKUP(D64,'Round 2'!$D:$Q,14,FALSE),0)),0))</f>
        <v/>
      </c>
      <c r="M64" s="97" t="str">
        <f>IF(D64="","",IF(COUNTIF('Round 2'!$D:$D,B64)=1,IF(VLOOKUP(D64,'Round 2'!$D:$Q,14,FALSE)="",0,IF(A64&gt;=2,VLOOKUP(D64,'Round 2'!$D:$K,8,FALSE),0)),0))</f>
        <v/>
      </c>
      <c r="N64" s="98" t="str">
        <f>IF(D64="","",IF(COUNTIF('Round 3'!$D:$D,B64)=1,IF(VLOOKUP(D64,'Round 3'!$D:$Q,14,FALSE)="",0,IF(A64&gt;=3,VLOOKUP(D64,'Round 3'!$D:$Q,14,FALSE),0)),0))</f>
        <v/>
      </c>
      <c r="O64" s="99" t="str">
        <f>IF(D64="","",IF(COUNTIF('Round 3'!$D:$D,B64)=1,IF(VLOOKUP(D64,'Round 3'!$D:$Q,14,FALSE)="",0,IF(A64&gt;=3,VLOOKUP(D64,'Round 3'!$D:$K,8,FALSE),0)),0))</f>
        <v/>
      </c>
      <c r="P64" s="100" t="str">
        <f>IF(D64="","",IF(COUNTIF('Round 4'!$D:$D,B64)=1,IF(VLOOKUP(D64,'Round 4'!$D:$Q,14,FALSE)="",0,IF(A64&gt;=4,VLOOKUP(D64,'Round 4'!$D:$Q,14,FALSE),0)),0))</f>
        <v/>
      </c>
      <c r="Q64" s="101" t="str">
        <f>IF(D64="","",IF(COUNTIF('Round 4'!$D:$D,B64)=1,IF(VLOOKUP(D64,'Round 4'!$D:$Q,14,FALSE)="",0,IF(A64&gt;=4,VLOOKUP(D64,'Round 4'!$D:$K,8,FALSE),0)),0))</f>
        <v/>
      </c>
      <c r="R64" s="102" t="str">
        <f>IF(D64="","",IF(COUNTIF('Round 5'!$D:$D,B64)=1,IF(VLOOKUP(D64,'Round 5'!$D:$Q,14,FALSE)="",0,IF(A64&gt;=5,VLOOKUP(D64,'Round 5'!$D:$Q,14,FALSE),0)),0))</f>
        <v/>
      </c>
      <c r="S64" s="103" t="str">
        <f>IF(D64="","",IF(COUNTIF('Round 5'!$D:$D,B64)=1,IF(VLOOKUP(D64,'Round 5'!$D:$Q,14,FALSE)="",0,IF(A64&gt;=5,VLOOKUP(D64,'Round 5'!$D:$K,8,FALSE),0)),0))</f>
        <v/>
      </c>
      <c r="T64" s="108" t="str">
        <f t="shared" si="0"/>
        <v/>
      </c>
      <c r="U64" s="137" t="str">
        <f t="shared" si="1"/>
        <v/>
      </c>
    </row>
    <row r="65" spans="1:21" x14ac:dyDescent="0.3">
      <c r="A65" s="82">
        <f>IF(D11="",0,'Tournament Details'!G4)</f>
        <v>0</v>
      </c>
      <c r="B65" s="90">
        <v>55</v>
      </c>
      <c r="C65" s="112" t="str">
        <f>IF('Tournament Details'!C61="","",B65)</f>
        <v/>
      </c>
      <c r="D65" s="105" t="str">
        <f>IF('Tournament Details'!C61="","",VLOOKUP(C65,'Tournament Details'!$B:$C,2,FALSE))</f>
        <v/>
      </c>
      <c r="E65" s="113" t="str">
        <f>IF(D65="","",VLOOKUP(D65,'Tournament Details'!$C:$H,6,FALSE))</f>
        <v/>
      </c>
      <c r="F65" s="113" t="str">
        <f>IF(D65="","",VLOOKUP(D65,'Tournament Details'!$C:$D,2,FALSE))</f>
        <v/>
      </c>
      <c r="G65" s="114" t="str">
        <f>IF(D65="","",VLOOKUP(D65,'Tournament Details'!$C:$E,3,FALSE))</f>
        <v/>
      </c>
      <c r="H65" s="268" t="str">
        <f>IF(D65="","",IF(VLOOKUP(D65,'Tournament Details'!$C:$G,5,FALSE)="","",VLOOKUP(D65,'Tournament Details'!$C:$G,5,FALSE)))</f>
        <v/>
      </c>
      <c r="I65" s="269"/>
      <c r="J65" s="155" t="str">
        <f>IF(D65="","",IF(COUNTIF('Round 1'!$D:$D,B65)=1,IF(VLOOKUP(D65,'Round 1'!$D:$Q,14,FALSE)="",0,IF(A65&gt;=1,VLOOKUP(D65,'Round 1'!$D:$Q,14,FALSE),0)),0))</f>
        <v/>
      </c>
      <c r="K65" s="95" t="str">
        <f>IF(D65="","",IF(COUNTIF('Round 1'!$D:$D,B65)=1,IF(VLOOKUP(D65,'Round 1'!$D:$Q,14,FALSE)="",0,IF(A65&gt;=1,VLOOKUP(D65,'Round 1'!$D:$K,8,FALSE),0)),0))</f>
        <v/>
      </c>
      <c r="L65" s="96" t="str">
        <f>IF(D65="","",IF(COUNTIF('Round 2'!$D:$D,B65)=1,IF(VLOOKUP(D65,'Round 2'!$D:$Q,14,FALSE)="",0,IF(A65&gt;=2,VLOOKUP(D65,'Round 2'!$D:$Q,14,FALSE),0)),0))</f>
        <v/>
      </c>
      <c r="M65" s="97" t="str">
        <f>IF(D65="","",IF(COUNTIF('Round 2'!$D:$D,B65)=1,IF(VLOOKUP(D65,'Round 2'!$D:$Q,14,FALSE)="",0,IF(A65&gt;=2,VLOOKUP(D65,'Round 2'!$D:$K,8,FALSE),0)),0))</f>
        <v/>
      </c>
      <c r="N65" s="98" t="str">
        <f>IF(D65="","",IF(COUNTIF('Round 3'!$D:$D,B65)=1,IF(VLOOKUP(D65,'Round 3'!$D:$Q,14,FALSE)="",0,IF(A65&gt;=3,VLOOKUP(D65,'Round 3'!$D:$Q,14,FALSE),0)),0))</f>
        <v/>
      </c>
      <c r="O65" s="99" t="str">
        <f>IF(D65="","",IF(COUNTIF('Round 3'!$D:$D,B65)=1,IF(VLOOKUP(D65,'Round 3'!$D:$Q,14,FALSE)="",0,IF(A65&gt;=3,VLOOKUP(D65,'Round 3'!$D:$K,8,FALSE),0)),0))</f>
        <v/>
      </c>
      <c r="P65" s="100" t="str">
        <f>IF(D65="","",IF(COUNTIF('Round 4'!$D:$D,B65)=1,IF(VLOOKUP(D65,'Round 4'!$D:$Q,14,FALSE)="",0,IF(A65&gt;=4,VLOOKUP(D65,'Round 4'!$D:$Q,14,FALSE),0)),0))</f>
        <v/>
      </c>
      <c r="Q65" s="101" t="str">
        <f>IF(D65="","",IF(COUNTIF('Round 4'!$D:$D,B65)=1,IF(VLOOKUP(D65,'Round 4'!$D:$Q,14,FALSE)="",0,IF(A65&gt;=4,VLOOKUP(D65,'Round 4'!$D:$K,8,FALSE),0)),0))</f>
        <v/>
      </c>
      <c r="R65" s="102" t="str">
        <f>IF(D65="","",IF(COUNTIF('Round 5'!$D:$D,B65)=1,IF(VLOOKUP(D65,'Round 5'!$D:$Q,14,FALSE)="",0,IF(A65&gt;=5,VLOOKUP(D65,'Round 5'!$D:$Q,14,FALSE),0)),0))</f>
        <v/>
      </c>
      <c r="S65" s="103" t="str">
        <f>IF(D65="","",IF(COUNTIF('Round 5'!$D:$D,B65)=1,IF(VLOOKUP(D65,'Round 5'!$D:$Q,14,FALSE)="",0,IF(A65&gt;=5,VLOOKUP(D65,'Round 5'!$D:$K,8,FALSE),0)),0))</f>
        <v/>
      </c>
      <c r="T65" s="108" t="str">
        <f t="shared" si="0"/>
        <v/>
      </c>
      <c r="U65" s="137" t="str">
        <f t="shared" si="1"/>
        <v/>
      </c>
    </row>
    <row r="66" spans="1:21" x14ac:dyDescent="0.3">
      <c r="A66" s="82">
        <f>IF(D11="",0,'Tournament Details'!G4)</f>
        <v>0</v>
      </c>
      <c r="B66" s="90">
        <v>56</v>
      </c>
      <c r="C66" s="112" t="str">
        <f>IF('Tournament Details'!C62="","",B66)</f>
        <v/>
      </c>
      <c r="D66" s="105" t="str">
        <f>IF('Tournament Details'!C62="","",VLOOKUP(C66,'Tournament Details'!$B:$C,2,FALSE))</f>
        <v/>
      </c>
      <c r="E66" s="113" t="str">
        <f>IF(D66="","",VLOOKUP(D66,'Tournament Details'!$C:$H,6,FALSE))</f>
        <v/>
      </c>
      <c r="F66" s="113" t="str">
        <f>IF(D66="","",VLOOKUP(D66,'Tournament Details'!$C:$D,2,FALSE))</f>
        <v/>
      </c>
      <c r="G66" s="114" t="str">
        <f>IF(D66="","",VLOOKUP(D66,'Tournament Details'!$C:$E,3,FALSE))</f>
        <v/>
      </c>
      <c r="H66" s="268" t="str">
        <f>IF(D66="","",IF(VLOOKUP(D66,'Tournament Details'!$C:$G,5,FALSE)="","",VLOOKUP(D66,'Tournament Details'!$C:$G,5,FALSE)))</f>
        <v/>
      </c>
      <c r="I66" s="269"/>
      <c r="J66" s="155" t="str">
        <f>IF(D66="","",IF(COUNTIF('Round 1'!$D:$D,B66)=1,IF(VLOOKUP(D66,'Round 1'!$D:$Q,14,FALSE)="",0,IF(A66&gt;=1,VLOOKUP(D66,'Round 1'!$D:$Q,14,FALSE),0)),0))</f>
        <v/>
      </c>
      <c r="K66" s="95" t="str">
        <f>IF(D66="","",IF(COUNTIF('Round 1'!$D:$D,B66)=1,IF(VLOOKUP(D66,'Round 1'!$D:$Q,14,FALSE)="",0,IF(A66&gt;=1,VLOOKUP(D66,'Round 1'!$D:$K,8,FALSE),0)),0))</f>
        <v/>
      </c>
      <c r="L66" s="96" t="str">
        <f>IF(D66="","",IF(COUNTIF('Round 2'!$D:$D,B66)=1,IF(VLOOKUP(D66,'Round 2'!$D:$Q,14,FALSE)="",0,IF(A66&gt;=2,VLOOKUP(D66,'Round 2'!$D:$Q,14,FALSE),0)),0))</f>
        <v/>
      </c>
      <c r="M66" s="97" t="str">
        <f>IF(D66="","",IF(COUNTIF('Round 2'!$D:$D,B66)=1,IF(VLOOKUP(D66,'Round 2'!$D:$Q,14,FALSE)="",0,IF(A66&gt;=2,VLOOKUP(D66,'Round 2'!$D:$K,8,FALSE),0)),0))</f>
        <v/>
      </c>
      <c r="N66" s="98" t="str">
        <f>IF(D66="","",IF(COUNTIF('Round 3'!$D:$D,B66)=1,IF(VLOOKUP(D66,'Round 3'!$D:$Q,14,FALSE)="",0,IF(A66&gt;=3,VLOOKUP(D66,'Round 3'!$D:$Q,14,FALSE),0)),0))</f>
        <v/>
      </c>
      <c r="O66" s="99" t="str">
        <f>IF(D66="","",IF(COUNTIF('Round 3'!$D:$D,B66)=1,IF(VLOOKUP(D66,'Round 3'!$D:$Q,14,FALSE)="",0,IF(A66&gt;=3,VLOOKUP(D66,'Round 3'!$D:$K,8,FALSE),0)),0))</f>
        <v/>
      </c>
      <c r="P66" s="100" t="str">
        <f>IF(D66="","",IF(COUNTIF('Round 4'!$D:$D,B66)=1,IF(VLOOKUP(D66,'Round 4'!$D:$Q,14,FALSE)="",0,IF(A66&gt;=4,VLOOKUP(D66,'Round 4'!$D:$Q,14,FALSE),0)),0))</f>
        <v/>
      </c>
      <c r="Q66" s="101" t="str">
        <f>IF(D66="","",IF(COUNTIF('Round 4'!$D:$D,B66)=1,IF(VLOOKUP(D66,'Round 4'!$D:$Q,14,FALSE)="",0,IF(A66&gt;=4,VLOOKUP(D66,'Round 4'!$D:$K,8,FALSE),0)),0))</f>
        <v/>
      </c>
      <c r="R66" s="102" t="str">
        <f>IF(D66="","",IF(COUNTIF('Round 5'!$D:$D,B66)=1,IF(VLOOKUP(D66,'Round 5'!$D:$Q,14,FALSE)="",0,IF(A66&gt;=5,VLOOKUP(D66,'Round 5'!$D:$Q,14,FALSE),0)),0))</f>
        <v/>
      </c>
      <c r="S66" s="103" t="str">
        <f>IF(D66="","",IF(COUNTIF('Round 5'!$D:$D,B66)=1,IF(VLOOKUP(D66,'Round 5'!$D:$Q,14,FALSE)="",0,IF(A66&gt;=5,VLOOKUP(D66,'Round 5'!$D:$K,8,FALSE),0)),0))</f>
        <v/>
      </c>
      <c r="T66" s="108" t="str">
        <f t="shared" si="0"/>
        <v/>
      </c>
      <c r="U66" s="137" t="str">
        <f t="shared" si="1"/>
        <v/>
      </c>
    </row>
    <row r="67" spans="1:21" x14ac:dyDescent="0.3">
      <c r="A67" s="82">
        <f>IF(D11="",0,'Tournament Details'!G4)</f>
        <v>0</v>
      </c>
      <c r="B67" s="90">
        <v>57</v>
      </c>
      <c r="C67" s="112" t="str">
        <f>IF('Tournament Details'!C63="","",B67)</f>
        <v/>
      </c>
      <c r="D67" s="105" t="str">
        <f>IF('Tournament Details'!C63="","",VLOOKUP(C67,'Tournament Details'!$B:$C,2,FALSE))</f>
        <v/>
      </c>
      <c r="E67" s="113" t="str">
        <f>IF(D67="","",VLOOKUP(D67,'Tournament Details'!$C:$H,6,FALSE))</f>
        <v/>
      </c>
      <c r="F67" s="113" t="str">
        <f>IF(D67="","",VLOOKUP(D67,'Tournament Details'!$C:$D,2,FALSE))</f>
        <v/>
      </c>
      <c r="G67" s="114" t="str">
        <f>IF(D67="","",VLOOKUP(D67,'Tournament Details'!$C:$E,3,FALSE))</f>
        <v/>
      </c>
      <c r="H67" s="268" t="str">
        <f>IF(D67="","",IF(VLOOKUP(D67,'Tournament Details'!$C:$G,5,FALSE)="","",VLOOKUP(D67,'Tournament Details'!$C:$G,5,FALSE)))</f>
        <v/>
      </c>
      <c r="I67" s="269"/>
      <c r="J67" s="155" t="str">
        <f>IF(D67="","",IF(COUNTIF('Round 1'!$D:$D,B67)=1,IF(VLOOKUP(D67,'Round 1'!$D:$Q,14,FALSE)="",0,IF(A67&gt;=1,VLOOKUP(D67,'Round 1'!$D:$Q,14,FALSE),0)),0))</f>
        <v/>
      </c>
      <c r="K67" s="95" t="str">
        <f>IF(D67="","",IF(COUNTIF('Round 1'!$D:$D,B67)=1,IF(VLOOKUP(D67,'Round 1'!$D:$Q,14,FALSE)="",0,IF(A67&gt;=1,VLOOKUP(D67,'Round 1'!$D:$K,8,FALSE),0)),0))</f>
        <v/>
      </c>
      <c r="L67" s="96" t="str">
        <f>IF(D67="","",IF(COUNTIF('Round 2'!$D:$D,B67)=1,IF(VLOOKUP(D67,'Round 2'!$D:$Q,14,FALSE)="",0,IF(A67&gt;=2,VLOOKUP(D67,'Round 2'!$D:$Q,14,FALSE),0)),0))</f>
        <v/>
      </c>
      <c r="M67" s="97" t="str">
        <f>IF(D67="","",IF(COUNTIF('Round 2'!$D:$D,B67)=1,IF(VLOOKUP(D67,'Round 2'!$D:$Q,14,FALSE)="",0,IF(A67&gt;=2,VLOOKUP(D67,'Round 2'!$D:$K,8,FALSE),0)),0))</f>
        <v/>
      </c>
      <c r="N67" s="98" t="str">
        <f>IF(D67="","",IF(COUNTIF('Round 3'!$D:$D,B67)=1,IF(VLOOKUP(D67,'Round 3'!$D:$Q,14,FALSE)="",0,IF(A67&gt;=3,VLOOKUP(D67,'Round 3'!$D:$Q,14,FALSE),0)),0))</f>
        <v/>
      </c>
      <c r="O67" s="99" t="str">
        <f>IF(D67="","",IF(COUNTIF('Round 3'!$D:$D,B67)=1,IF(VLOOKUP(D67,'Round 3'!$D:$Q,14,FALSE)="",0,IF(A67&gt;=3,VLOOKUP(D67,'Round 3'!$D:$K,8,FALSE),0)),0))</f>
        <v/>
      </c>
      <c r="P67" s="100" t="str">
        <f>IF(D67="","",IF(COUNTIF('Round 4'!$D:$D,B67)=1,IF(VLOOKUP(D67,'Round 4'!$D:$Q,14,FALSE)="",0,IF(A67&gt;=4,VLOOKUP(D67,'Round 4'!$D:$Q,14,FALSE),0)),0))</f>
        <v/>
      </c>
      <c r="Q67" s="101" t="str">
        <f>IF(D67="","",IF(COUNTIF('Round 4'!$D:$D,B67)=1,IF(VLOOKUP(D67,'Round 4'!$D:$Q,14,FALSE)="",0,IF(A67&gt;=4,VLOOKUP(D67,'Round 4'!$D:$K,8,FALSE),0)),0))</f>
        <v/>
      </c>
      <c r="R67" s="102" t="str">
        <f>IF(D67="","",IF(COUNTIF('Round 5'!$D:$D,B67)=1,IF(VLOOKUP(D67,'Round 5'!$D:$Q,14,FALSE)="",0,IF(A67&gt;=5,VLOOKUP(D67,'Round 5'!$D:$Q,14,FALSE),0)),0))</f>
        <v/>
      </c>
      <c r="S67" s="103" t="str">
        <f>IF(D67="","",IF(COUNTIF('Round 5'!$D:$D,B67)=1,IF(VLOOKUP(D67,'Round 5'!$D:$Q,14,FALSE)="",0,IF(A67&gt;=5,VLOOKUP(D67,'Round 5'!$D:$K,8,FALSE),0)),0))</f>
        <v/>
      </c>
      <c r="T67" s="108" t="str">
        <f t="shared" si="0"/>
        <v/>
      </c>
      <c r="U67" s="137" t="str">
        <f t="shared" si="1"/>
        <v/>
      </c>
    </row>
    <row r="68" spans="1:21" x14ac:dyDescent="0.3">
      <c r="A68" s="82">
        <f>IF(D11="",0,'Tournament Details'!G4)</f>
        <v>0</v>
      </c>
      <c r="B68" s="90">
        <v>58</v>
      </c>
      <c r="C68" s="112" t="str">
        <f>IF('Tournament Details'!C64="","",B68)</f>
        <v/>
      </c>
      <c r="D68" s="105" t="str">
        <f>IF('Tournament Details'!C64="","",VLOOKUP(C68,'Tournament Details'!$B:$C,2,FALSE))</f>
        <v/>
      </c>
      <c r="E68" s="113" t="str">
        <f>IF(D68="","",VLOOKUP(D68,'Tournament Details'!$C:$H,6,FALSE))</f>
        <v/>
      </c>
      <c r="F68" s="113" t="str">
        <f>IF(D68="","",VLOOKUP(D68,'Tournament Details'!$C:$D,2,FALSE))</f>
        <v/>
      </c>
      <c r="G68" s="114" t="str">
        <f>IF(D68="","",VLOOKUP(D68,'Tournament Details'!$C:$E,3,FALSE))</f>
        <v/>
      </c>
      <c r="H68" s="268" t="str">
        <f>IF(D68="","",IF(VLOOKUP(D68,'Tournament Details'!$C:$G,5,FALSE)="","",VLOOKUP(D68,'Tournament Details'!$C:$G,5,FALSE)))</f>
        <v/>
      </c>
      <c r="I68" s="269"/>
      <c r="J68" s="155" t="str">
        <f>IF(D68="","",IF(COUNTIF('Round 1'!$D:$D,B68)=1,IF(VLOOKUP(D68,'Round 1'!$D:$Q,14,FALSE)="",0,IF(A68&gt;=1,VLOOKUP(D68,'Round 1'!$D:$Q,14,FALSE),0)),0))</f>
        <v/>
      </c>
      <c r="K68" s="95" t="str">
        <f>IF(D68="","",IF(COUNTIF('Round 1'!$D:$D,B68)=1,IF(VLOOKUP(D68,'Round 1'!$D:$Q,14,FALSE)="",0,IF(A68&gt;=1,VLOOKUP(D68,'Round 1'!$D:$K,8,FALSE),0)),0))</f>
        <v/>
      </c>
      <c r="L68" s="96" t="str">
        <f>IF(D68="","",IF(COUNTIF('Round 2'!$D:$D,B68)=1,IF(VLOOKUP(D68,'Round 2'!$D:$Q,14,FALSE)="",0,IF(A68&gt;=2,VLOOKUP(D68,'Round 2'!$D:$Q,14,FALSE),0)),0))</f>
        <v/>
      </c>
      <c r="M68" s="97" t="str">
        <f>IF(D68="","",IF(COUNTIF('Round 2'!$D:$D,B68)=1,IF(VLOOKUP(D68,'Round 2'!$D:$Q,14,FALSE)="",0,IF(A68&gt;=2,VLOOKUP(D68,'Round 2'!$D:$K,8,FALSE),0)),0))</f>
        <v/>
      </c>
      <c r="N68" s="98" t="str">
        <f>IF(D68="","",IF(COUNTIF('Round 3'!$D:$D,B68)=1,IF(VLOOKUP(D68,'Round 3'!$D:$Q,14,FALSE)="",0,IF(A68&gt;=3,VLOOKUP(D68,'Round 3'!$D:$Q,14,FALSE),0)),0))</f>
        <v/>
      </c>
      <c r="O68" s="99" t="str">
        <f>IF(D68="","",IF(COUNTIF('Round 3'!$D:$D,B68)=1,IF(VLOOKUP(D68,'Round 3'!$D:$Q,14,FALSE)="",0,IF(A68&gt;=3,VLOOKUP(D68,'Round 3'!$D:$K,8,FALSE),0)),0))</f>
        <v/>
      </c>
      <c r="P68" s="100" t="str">
        <f>IF(D68="","",IF(COUNTIF('Round 4'!$D:$D,B68)=1,IF(VLOOKUP(D68,'Round 4'!$D:$Q,14,FALSE)="",0,IF(A68&gt;=4,VLOOKUP(D68,'Round 4'!$D:$Q,14,FALSE),0)),0))</f>
        <v/>
      </c>
      <c r="Q68" s="101" t="str">
        <f>IF(D68="","",IF(COUNTIF('Round 4'!$D:$D,B68)=1,IF(VLOOKUP(D68,'Round 4'!$D:$Q,14,FALSE)="",0,IF(A68&gt;=4,VLOOKUP(D68,'Round 4'!$D:$K,8,FALSE),0)),0))</f>
        <v/>
      </c>
      <c r="R68" s="102" t="str">
        <f>IF(D68="","",IF(COUNTIF('Round 5'!$D:$D,B68)=1,IF(VLOOKUP(D68,'Round 5'!$D:$Q,14,FALSE)="",0,IF(A68&gt;=5,VLOOKUP(D68,'Round 5'!$D:$Q,14,FALSE),0)),0))</f>
        <v/>
      </c>
      <c r="S68" s="103" t="str">
        <f>IF(D68="","",IF(COUNTIF('Round 5'!$D:$D,B68)=1,IF(VLOOKUP(D68,'Round 5'!$D:$Q,14,FALSE)="",0,IF(A68&gt;=5,VLOOKUP(D68,'Round 5'!$D:$K,8,FALSE),0)),0))</f>
        <v/>
      </c>
      <c r="T68" s="108" t="str">
        <f t="shared" si="0"/>
        <v/>
      </c>
      <c r="U68" s="137" t="str">
        <f t="shared" si="1"/>
        <v/>
      </c>
    </row>
    <row r="69" spans="1:21" x14ac:dyDescent="0.3">
      <c r="A69" s="82">
        <f>IF(D11="",0,'Tournament Details'!G4)</f>
        <v>0</v>
      </c>
      <c r="B69" s="90">
        <v>59</v>
      </c>
      <c r="C69" s="112" t="str">
        <f>IF('Tournament Details'!C65="","",B69)</f>
        <v/>
      </c>
      <c r="D69" s="105" t="str">
        <f>IF('Tournament Details'!C65="","",VLOOKUP(C69,'Tournament Details'!$B:$C,2,FALSE))</f>
        <v/>
      </c>
      <c r="E69" s="113" t="str">
        <f>IF(D69="","",VLOOKUP(D69,'Tournament Details'!$C:$H,6,FALSE))</f>
        <v/>
      </c>
      <c r="F69" s="113" t="str">
        <f>IF(D69="","",VLOOKUP(D69,'Tournament Details'!$C:$D,2,FALSE))</f>
        <v/>
      </c>
      <c r="G69" s="114" t="str">
        <f>IF(D69="","",VLOOKUP(D69,'Tournament Details'!$C:$E,3,FALSE))</f>
        <v/>
      </c>
      <c r="H69" s="268" t="str">
        <f>IF(D69="","",IF(VLOOKUP(D69,'Tournament Details'!$C:$G,5,FALSE)="","",VLOOKUP(D69,'Tournament Details'!$C:$G,5,FALSE)))</f>
        <v/>
      </c>
      <c r="I69" s="269"/>
      <c r="J69" s="155" t="str">
        <f>IF(D69="","",IF(COUNTIF('Round 1'!$D:$D,B69)=1,IF(VLOOKUP(D69,'Round 1'!$D:$Q,14,FALSE)="",0,IF(A69&gt;=1,VLOOKUP(D69,'Round 1'!$D:$Q,14,FALSE),0)),0))</f>
        <v/>
      </c>
      <c r="K69" s="95" t="str">
        <f>IF(D69="","",IF(COUNTIF('Round 1'!$D:$D,B69)=1,IF(VLOOKUP(D69,'Round 1'!$D:$Q,14,FALSE)="",0,IF(A69&gt;=1,VLOOKUP(D69,'Round 1'!$D:$K,8,FALSE),0)),0))</f>
        <v/>
      </c>
      <c r="L69" s="96" t="str">
        <f>IF(D69="","",IF(COUNTIF('Round 2'!$D:$D,B69)=1,IF(VLOOKUP(D69,'Round 2'!$D:$Q,14,FALSE)="",0,IF(A69&gt;=2,VLOOKUP(D69,'Round 2'!$D:$Q,14,FALSE),0)),0))</f>
        <v/>
      </c>
      <c r="M69" s="97" t="str">
        <f>IF(D69="","",IF(COUNTIF('Round 2'!$D:$D,B69)=1,IF(VLOOKUP(D69,'Round 2'!$D:$Q,14,FALSE)="",0,IF(A69&gt;=2,VLOOKUP(D69,'Round 2'!$D:$K,8,FALSE),0)),0))</f>
        <v/>
      </c>
      <c r="N69" s="98" t="str">
        <f>IF(D69="","",IF(COUNTIF('Round 3'!$D:$D,B69)=1,IF(VLOOKUP(D69,'Round 3'!$D:$Q,14,FALSE)="",0,IF(A69&gt;=3,VLOOKUP(D69,'Round 3'!$D:$Q,14,FALSE),0)),0))</f>
        <v/>
      </c>
      <c r="O69" s="99" t="str">
        <f>IF(D69="","",IF(COUNTIF('Round 3'!$D:$D,B69)=1,IF(VLOOKUP(D69,'Round 3'!$D:$Q,14,FALSE)="",0,IF(A69&gt;=3,VLOOKUP(D69,'Round 3'!$D:$K,8,FALSE),0)),0))</f>
        <v/>
      </c>
      <c r="P69" s="100" t="str">
        <f>IF(D69="","",IF(COUNTIF('Round 4'!$D:$D,B69)=1,IF(VLOOKUP(D69,'Round 4'!$D:$Q,14,FALSE)="",0,IF(A69&gt;=4,VLOOKUP(D69,'Round 4'!$D:$Q,14,FALSE),0)),0))</f>
        <v/>
      </c>
      <c r="Q69" s="101" t="str">
        <f>IF(D69="","",IF(COUNTIF('Round 4'!$D:$D,B69)=1,IF(VLOOKUP(D69,'Round 4'!$D:$Q,14,FALSE)="",0,IF(A69&gt;=4,VLOOKUP(D69,'Round 4'!$D:$K,8,FALSE),0)),0))</f>
        <v/>
      </c>
      <c r="R69" s="102" t="str">
        <f>IF(D69="","",IF(COUNTIF('Round 5'!$D:$D,B69)=1,IF(VLOOKUP(D69,'Round 5'!$D:$Q,14,FALSE)="",0,IF(A69&gt;=5,VLOOKUP(D69,'Round 5'!$D:$Q,14,FALSE),0)),0))</f>
        <v/>
      </c>
      <c r="S69" s="103" t="str">
        <f>IF(D69="","",IF(COUNTIF('Round 5'!$D:$D,B69)=1,IF(VLOOKUP(D69,'Round 5'!$D:$Q,14,FALSE)="",0,IF(A69&gt;=5,VLOOKUP(D69,'Round 5'!$D:$K,8,FALSE),0)),0))</f>
        <v/>
      </c>
      <c r="T69" s="108" t="str">
        <f t="shared" si="0"/>
        <v/>
      </c>
      <c r="U69" s="137" t="str">
        <f t="shared" si="1"/>
        <v/>
      </c>
    </row>
    <row r="70" spans="1:21" x14ac:dyDescent="0.3">
      <c r="A70" s="82">
        <f>IF(D11="",0,'Tournament Details'!G4)</f>
        <v>0</v>
      </c>
      <c r="B70" s="90">
        <v>60</v>
      </c>
      <c r="C70" s="112" t="str">
        <f>IF('Tournament Details'!C66="","",B70)</f>
        <v/>
      </c>
      <c r="D70" s="105" t="str">
        <f>IF('Tournament Details'!C66="","",VLOOKUP(C70,'Tournament Details'!$B:$C,2,FALSE))</f>
        <v/>
      </c>
      <c r="E70" s="113" t="str">
        <f>IF(D70="","",VLOOKUP(D70,'Tournament Details'!$C:$H,6,FALSE))</f>
        <v/>
      </c>
      <c r="F70" s="113" t="str">
        <f>IF(D70="","",VLOOKUP(D70,'Tournament Details'!$C:$D,2,FALSE))</f>
        <v/>
      </c>
      <c r="G70" s="114" t="str">
        <f>IF(D70="","",VLOOKUP(D70,'Tournament Details'!$C:$E,3,FALSE))</f>
        <v/>
      </c>
      <c r="H70" s="268" t="str">
        <f>IF(D70="","",IF(VLOOKUP(D70,'Tournament Details'!$C:$G,5,FALSE)="","",VLOOKUP(D70,'Tournament Details'!$C:$G,5,FALSE)))</f>
        <v/>
      </c>
      <c r="I70" s="269"/>
      <c r="J70" s="155" t="str">
        <f>IF(D70="","",IF(COUNTIF('Round 1'!$D:$D,B70)=1,IF(VLOOKUP(D70,'Round 1'!$D:$Q,14,FALSE)="",0,IF(A70&gt;=1,VLOOKUP(D70,'Round 1'!$D:$Q,14,FALSE),0)),0))</f>
        <v/>
      </c>
      <c r="K70" s="95" t="str">
        <f>IF(D70="","",IF(COUNTIF('Round 1'!$D:$D,B70)=1,IF(VLOOKUP(D70,'Round 1'!$D:$Q,14,FALSE)="",0,IF(A70&gt;=1,VLOOKUP(D70,'Round 1'!$D:$K,8,FALSE),0)),0))</f>
        <v/>
      </c>
      <c r="L70" s="96" t="str">
        <f>IF(D70="","",IF(COUNTIF('Round 2'!$D:$D,B70)=1,IF(VLOOKUP(D70,'Round 2'!$D:$Q,14,FALSE)="",0,IF(A70&gt;=2,VLOOKUP(D70,'Round 2'!$D:$Q,14,FALSE),0)),0))</f>
        <v/>
      </c>
      <c r="M70" s="97" t="str">
        <f>IF(D70="","",IF(COUNTIF('Round 2'!$D:$D,B70)=1,IF(VLOOKUP(D70,'Round 2'!$D:$Q,14,FALSE)="",0,IF(A70&gt;=2,VLOOKUP(D70,'Round 2'!$D:$K,8,FALSE),0)),0))</f>
        <v/>
      </c>
      <c r="N70" s="98" t="str">
        <f>IF(D70="","",IF(COUNTIF('Round 3'!$D:$D,B70)=1,IF(VLOOKUP(D70,'Round 3'!$D:$Q,14,FALSE)="",0,IF(A70&gt;=3,VLOOKUP(D70,'Round 3'!$D:$Q,14,FALSE),0)),0))</f>
        <v/>
      </c>
      <c r="O70" s="99" t="str">
        <f>IF(D70="","",IF(COUNTIF('Round 3'!$D:$D,B70)=1,IF(VLOOKUP(D70,'Round 3'!$D:$Q,14,FALSE)="",0,IF(A70&gt;=3,VLOOKUP(D70,'Round 3'!$D:$K,8,FALSE),0)),0))</f>
        <v/>
      </c>
      <c r="P70" s="100" t="str">
        <f>IF(D70="","",IF(COUNTIF('Round 4'!$D:$D,B70)=1,IF(VLOOKUP(D70,'Round 4'!$D:$Q,14,FALSE)="",0,IF(A70&gt;=4,VLOOKUP(D70,'Round 4'!$D:$Q,14,FALSE),0)),0))</f>
        <v/>
      </c>
      <c r="Q70" s="101" t="str">
        <f>IF(D70="","",IF(COUNTIF('Round 4'!$D:$D,B70)=1,IF(VLOOKUP(D70,'Round 4'!$D:$Q,14,FALSE)="",0,IF(A70&gt;=4,VLOOKUP(D70,'Round 4'!$D:$K,8,FALSE),0)),0))</f>
        <v/>
      </c>
      <c r="R70" s="102" t="str">
        <f>IF(D70="","",IF(COUNTIF('Round 5'!$D:$D,B70)=1,IF(VLOOKUP(D70,'Round 5'!$D:$Q,14,FALSE)="",0,IF(A70&gt;=5,VLOOKUP(D70,'Round 5'!$D:$Q,14,FALSE),0)),0))</f>
        <v/>
      </c>
      <c r="S70" s="103" t="str">
        <f>IF(D70="","",IF(COUNTIF('Round 5'!$D:$D,B70)=1,IF(VLOOKUP(D70,'Round 5'!$D:$Q,14,FALSE)="",0,IF(A70&gt;=5,VLOOKUP(D70,'Round 5'!$D:$K,8,FALSE),0)),0))</f>
        <v/>
      </c>
      <c r="T70" s="108" t="str">
        <f t="shared" si="0"/>
        <v/>
      </c>
      <c r="U70" s="137" t="str">
        <f t="shared" si="1"/>
        <v/>
      </c>
    </row>
    <row r="71" spans="1:21" x14ac:dyDescent="0.3">
      <c r="A71" s="82">
        <f>IF(D11="",0,'Tournament Details'!G4)</f>
        <v>0</v>
      </c>
      <c r="B71" s="90">
        <v>61</v>
      </c>
      <c r="C71" s="112" t="str">
        <f>IF('Tournament Details'!C67="","",B71)</f>
        <v/>
      </c>
      <c r="D71" s="105" t="str">
        <f>IF('Tournament Details'!C67="","",VLOOKUP(C71,'Tournament Details'!$B:$C,2,FALSE))</f>
        <v/>
      </c>
      <c r="E71" s="113" t="str">
        <f>IF(D71="","",VLOOKUP(D71,'Tournament Details'!$C:$H,6,FALSE))</f>
        <v/>
      </c>
      <c r="F71" s="113" t="str">
        <f>IF(D71="","",VLOOKUP(D71,'Tournament Details'!$C:$D,2,FALSE))</f>
        <v/>
      </c>
      <c r="G71" s="114" t="str">
        <f>IF(D71="","",VLOOKUP(D71,'Tournament Details'!$C:$E,3,FALSE))</f>
        <v/>
      </c>
      <c r="H71" s="268" t="str">
        <f>IF(D71="","",IF(VLOOKUP(D71,'Tournament Details'!$C:$G,5,FALSE)="","",VLOOKUP(D71,'Tournament Details'!$C:$G,5,FALSE)))</f>
        <v/>
      </c>
      <c r="I71" s="269"/>
      <c r="J71" s="155" t="str">
        <f>IF(D71="","",IF(COUNTIF('Round 1'!$D:$D,B71)=1,IF(VLOOKUP(D71,'Round 1'!$D:$Q,14,FALSE)="",0,IF(A71&gt;=1,VLOOKUP(D71,'Round 1'!$D:$Q,14,FALSE),0)),0))</f>
        <v/>
      </c>
      <c r="K71" s="95" t="str">
        <f>IF(D71="","",IF(COUNTIF('Round 1'!$D:$D,B71)=1,IF(VLOOKUP(D71,'Round 1'!$D:$Q,14,FALSE)="",0,IF(A71&gt;=1,VLOOKUP(D71,'Round 1'!$D:$K,8,FALSE),0)),0))</f>
        <v/>
      </c>
      <c r="L71" s="96" t="str">
        <f>IF(D71="","",IF(COUNTIF('Round 2'!$D:$D,B71)=1,IF(VLOOKUP(D71,'Round 2'!$D:$Q,14,FALSE)="",0,IF(A71&gt;=2,VLOOKUP(D71,'Round 2'!$D:$Q,14,FALSE),0)),0))</f>
        <v/>
      </c>
      <c r="M71" s="97" t="str">
        <f>IF(D71="","",IF(COUNTIF('Round 2'!$D:$D,B71)=1,IF(VLOOKUP(D71,'Round 2'!$D:$Q,14,FALSE)="",0,IF(A71&gt;=2,VLOOKUP(D71,'Round 2'!$D:$K,8,FALSE),0)),0))</f>
        <v/>
      </c>
      <c r="N71" s="98" t="str">
        <f>IF(D71="","",IF(COUNTIF('Round 3'!$D:$D,B71)=1,IF(VLOOKUP(D71,'Round 3'!$D:$Q,14,FALSE)="",0,IF(A71&gt;=3,VLOOKUP(D71,'Round 3'!$D:$Q,14,FALSE),0)),0))</f>
        <v/>
      </c>
      <c r="O71" s="99" t="str">
        <f>IF(D71="","",IF(COUNTIF('Round 3'!$D:$D,B71)=1,IF(VLOOKUP(D71,'Round 3'!$D:$Q,14,FALSE)="",0,IF(A71&gt;=3,VLOOKUP(D71,'Round 3'!$D:$K,8,FALSE),0)),0))</f>
        <v/>
      </c>
      <c r="P71" s="100" t="str">
        <f>IF(D71="","",IF(COUNTIF('Round 4'!$D:$D,B71)=1,IF(VLOOKUP(D71,'Round 4'!$D:$Q,14,FALSE)="",0,IF(A71&gt;=4,VLOOKUP(D71,'Round 4'!$D:$Q,14,FALSE),0)),0))</f>
        <v/>
      </c>
      <c r="Q71" s="101" t="str">
        <f>IF(D71="","",IF(COUNTIF('Round 4'!$D:$D,B71)=1,IF(VLOOKUP(D71,'Round 4'!$D:$Q,14,FALSE)="",0,IF(A71&gt;=4,VLOOKUP(D71,'Round 4'!$D:$K,8,FALSE),0)),0))</f>
        <v/>
      </c>
      <c r="R71" s="102" t="str">
        <f>IF(D71="","",IF(COUNTIF('Round 5'!$D:$D,B71)=1,IF(VLOOKUP(D71,'Round 5'!$D:$Q,14,FALSE)="",0,IF(A71&gt;=5,VLOOKUP(D71,'Round 5'!$D:$Q,14,FALSE),0)),0))</f>
        <v/>
      </c>
      <c r="S71" s="103" t="str">
        <f>IF(D71="","",IF(COUNTIF('Round 5'!$D:$D,B71)=1,IF(VLOOKUP(D71,'Round 5'!$D:$Q,14,FALSE)="",0,IF(A71&gt;=5,VLOOKUP(D71,'Round 5'!$D:$K,8,FALSE),0)),0))</f>
        <v/>
      </c>
      <c r="T71" s="108" t="str">
        <f t="shared" si="0"/>
        <v/>
      </c>
      <c r="U71" s="137" t="str">
        <f t="shared" si="1"/>
        <v/>
      </c>
    </row>
    <row r="72" spans="1:21" x14ac:dyDescent="0.3">
      <c r="A72" s="82">
        <f>IF(D11="",0,'Tournament Details'!G4)</f>
        <v>0</v>
      </c>
      <c r="B72" s="90">
        <v>62</v>
      </c>
      <c r="C72" s="112" t="str">
        <f>IF('Tournament Details'!C68="","",B72)</f>
        <v/>
      </c>
      <c r="D72" s="105" t="str">
        <f>IF('Tournament Details'!C68="","",VLOOKUP(C72,'Tournament Details'!$B:$C,2,FALSE))</f>
        <v/>
      </c>
      <c r="E72" s="113" t="str">
        <f>IF(D72="","",VLOOKUP(D72,'Tournament Details'!$C:$H,6,FALSE))</f>
        <v/>
      </c>
      <c r="F72" s="113" t="str">
        <f>IF(D72="","",VLOOKUP(D72,'Tournament Details'!$C:$D,2,FALSE))</f>
        <v/>
      </c>
      <c r="G72" s="114" t="str">
        <f>IF(D72="","",VLOOKUP(D72,'Tournament Details'!$C:$E,3,FALSE))</f>
        <v/>
      </c>
      <c r="H72" s="268" t="str">
        <f>IF(D72="","",IF(VLOOKUP(D72,'Tournament Details'!$C:$G,5,FALSE)="","",VLOOKUP(D72,'Tournament Details'!$C:$G,5,FALSE)))</f>
        <v/>
      </c>
      <c r="I72" s="269"/>
      <c r="J72" s="155" t="str">
        <f>IF(D72="","",IF(COUNTIF('Round 1'!$D:$D,B72)=1,IF(VLOOKUP(D72,'Round 1'!$D:$Q,14,FALSE)="",0,IF(A72&gt;=1,VLOOKUP(D72,'Round 1'!$D:$Q,14,FALSE),0)),0))</f>
        <v/>
      </c>
      <c r="K72" s="95" t="str">
        <f>IF(D72="","",IF(COUNTIF('Round 1'!$D:$D,B72)=1,IF(VLOOKUP(D72,'Round 1'!$D:$Q,14,FALSE)="",0,IF(A72&gt;=1,VLOOKUP(D72,'Round 1'!$D:$K,8,FALSE),0)),0))</f>
        <v/>
      </c>
      <c r="L72" s="96" t="str">
        <f>IF(D72="","",IF(COUNTIF('Round 2'!$D:$D,B72)=1,IF(VLOOKUP(D72,'Round 2'!$D:$Q,14,FALSE)="",0,IF(A72&gt;=2,VLOOKUP(D72,'Round 2'!$D:$Q,14,FALSE),0)),0))</f>
        <v/>
      </c>
      <c r="M72" s="97" t="str">
        <f>IF(D72="","",IF(COUNTIF('Round 2'!$D:$D,B72)=1,IF(VLOOKUP(D72,'Round 2'!$D:$Q,14,FALSE)="",0,IF(A72&gt;=2,VLOOKUP(D72,'Round 2'!$D:$K,8,FALSE),0)),0))</f>
        <v/>
      </c>
      <c r="N72" s="98" t="str">
        <f>IF(D72="","",IF(COUNTIF('Round 3'!$D:$D,B72)=1,IF(VLOOKUP(D72,'Round 3'!$D:$Q,14,FALSE)="",0,IF(A72&gt;=3,VLOOKUP(D72,'Round 3'!$D:$Q,14,FALSE),0)),0))</f>
        <v/>
      </c>
      <c r="O72" s="99" t="str">
        <f>IF(D72="","",IF(COUNTIF('Round 3'!$D:$D,B72)=1,IF(VLOOKUP(D72,'Round 3'!$D:$Q,14,FALSE)="",0,IF(A72&gt;=3,VLOOKUP(D72,'Round 3'!$D:$K,8,FALSE),0)),0))</f>
        <v/>
      </c>
      <c r="P72" s="100" t="str">
        <f>IF(D72="","",IF(COUNTIF('Round 4'!$D:$D,B72)=1,IF(VLOOKUP(D72,'Round 4'!$D:$Q,14,FALSE)="",0,IF(A72&gt;=4,VLOOKUP(D72,'Round 4'!$D:$Q,14,FALSE),0)),0))</f>
        <v/>
      </c>
      <c r="Q72" s="101" t="str">
        <f>IF(D72="","",IF(COUNTIF('Round 4'!$D:$D,B72)=1,IF(VLOOKUP(D72,'Round 4'!$D:$Q,14,FALSE)="",0,IF(A72&gt;=4,VLOOKUP(D72,'Round 4'!$D:$K,8,FALSE),0)),0))</f>
        <v/>
      </c>
      <c r="R72" s="102" t="str">
        <f>IF(D72="","",IF(COUNTIF('Round 5'!$D:$D,B72)=1,IF(VLOOKUP(D72,'Round 5'!$D:$Q,14,FALSE)="",0,IF(A72&gt;=5,VLOOKUP(D72,'Round 5'!$D:$Q,14,FALSE),0)),0))</f>
        <v/>
      </c>
      <c r="S72" s="103" t="str">
        <f>IF(D72="","",IF(COUNTIF('Round 5'!$D:$D,B72)=1,IF(VLOOKUP(D72,'Round 5'!$D:$Q,14,FALSE)="",0,IF(A72&gt;=5,VLOOKUP(D72,'Round 5'!$D:$K,8,FALSE),0)),0))</f>
        <v/>
      </c>
      <c r="T72" s="108" t="str">
        <f t="shared" si="0"/>
        <v/>
      </c>
      <c r="U72" s="137" t="str">
        <f t="shared" si="1"/>
        <v/>
      </c>
    </row>
    <row r="73" spans="1:21" x14ac:dyDescent="0.3">
      <c r="A73" s="82">
        <f>IF(D11="",0,'Tournament Details'!G4)</f>
        <v>0</v>
      </c>
      <c r="B73" s="90">
        <v>63</v>
      </c>
      <c r="C73" s="112" t="str">
        <f>IF('Tournament Details'!C69="","",B73)</f>
        <v/>
      </c>
      <c r="D73" s="105" t="str">
        <f>IF('Tournament Details'!C69="","",VLOOKUP(C73,'Tournament Details'!$B:$C,2,FALSE))</f>
        <v/>
      </c>
      <c r="E73" s="113" t="str">
        <f>IF(D73="","",VLOOKUP(D73,'Tournament Details'!$C:$H,6,FALSE))</f>
        <v/>
      </c>
      <c r="F73" s="113" t="str">
        <f>IF(D73="","",VLOOKUP(D73,'Tournament Details'!$C:$D,2,FALSE))</f>
        <v/>
      </c>
      <c r="G73" s="114" t="str">
        <f>IF(D73="","",VLOOKUP(D73,'Tournament Details'!$C:$E,3,FALSE))</f>
        <v/>
      </c>
      <c r="H73" s="268" t="str">
        <f>IF(D73="","",IF(VLOOKUP(D73,'Tournament Details'!$C:$G,5,FALSE)="","",VLOOKUP(D73,'Tournament Details'!$C:$G,5,FALSE)))</f>
        <v/>
      </c>
      <c r="I73" s="269"/>
      <c r="J73" s="155" t="str">
        <f>IF(D73="","",IF(COUNTIF('Round 1'!$D:$D,B73)=1,IF(VLOOKUP(D73,'Round 1'!$D:$Q,14,FALSE)="",0,IF(A73&gt;=1,VLOOKUP(D73,'Round 1'!$D:$Q,14,FALSE),0)),0))</f>
        <v/>
      </c>
      <c r="K73" s="95" t="str">
        <f>IF(D73="","",IF(COUNTIF('Round 1'!$D:$D,B73)=1,IF(VLOOKUP(D73,'Round 1'!$D:$Q,14,FALSE)="",0,IF(A73&gt;=1,VLOOKUP(D73,'Round 1'!$D:$K,8,FALSE),0)),0))</f>
        <v/>
      </c>
      <c r="L73" s="96" t="str">
        <f>IF(D73="","",IF(COUNTIF('Round 2'!$D:$D,B73)=1,IF(VLOOKUP(D73,'Round 2'!$D:$Q,14,FALSE)="",0,IF(A73&gt;=2,VLOOKUP(D73,'Round 2'!$D:$Q,14,FALSE),0)),0))</f>
        <v/>
      </c>
      <c r="M73" s="97" t="str">
        <f>IF(D73="","",IF(COUNTIF('Round 2'!$D:$D,B73)=1,IF(VLOOKUP(D73,'Round 2'!$D:$Q,14,FALSE)="",0,IF(A73&gt;=2,VLOOKUP(D73,'Round 2'!$D:$K,8,FALSE),0)),0))</f>
        <v/>
      </c>
      <c r="N73" s="98" t="str">
        <f>IF(D73="","",IF(COUNTIF('Round 3'!$D:$D,B73)=1,IF(VLOOKUP(D73,'Round 3'!$D:$Q,14,FALSE)="",0,IF(A73&gt;=3,VLOOKUP(D73,'Round 3'!$D:$Q,14,FALSE),0)),0))</f>
        <v/>
      </c>
      <c r="O73" s="99" t="str">
        <f>IF(D73="","",IF(COUNTIF('Round 3'!$D:$D,B73)=1,IF(VLOOKUP(D73,'Round 3'!$D:$Q,14,FALSE)="",0,IF(A73&gt;=3,VLOOKUP(D73,'Round 3'!$D:$K,8,FALSE),0)),0))</f>
        <v/>
      </c>
      <c r="P73" s="100" t="str">
        <f>IF(D73="","",IF(COUNTIF('Round 4'!$D:$D,B73)=1,IF(VLOOKUP(D73,'Round 4'!$D:$Q,14,FALSE)="",0,IF(A73&gt;=4,VLOOKUP(D73,'Round 4'!$D:$Q,14,FALSE),0)),0))</f>
        <v/>
      </c>
      <c r="Q73" s="101" t="str">
        <f>IF(D73="","",IF(COUNTIF('Round 4'!$D:$D,B73)=1,IF(VLOOKUP(D73,'Round 4'!$D:$Q,14,FALSE)="",0,IF(A73&gt;=4,VLOOKUP(D73,'Round 4'!$D:$K,8,FALSE),0)),0))</f>
        <v/>
      </c>
      <c r="R73" s="102" t="str">
        <f>IF(D73="","",IF(COUNTIF('Round 5'!$D:$D,B73)=1,IF(VLOOKUP(D73,'Round 5'!$D:$Q,14,FALSE)="",0,IF(A73&gt;=5,VLOOKUP(D73,'Round 5'!$D:$Q,14,FALSE),0)),0))</f>
        <v/>
      </c>
      <c r="S73" s="103" t="str">
        <f>IF(D73="","",IF(COUNTIF('Round 5'!$D:$D,B73)=1,IF(VLOOKUP(D73,'Round 5'!$D:$Q,14,FALSE)="",0,IF(A73&gt;=5,VLOOKUP(D73,'Round 5'!$D:$K,8,FALSE),0)),0))</f>
        <v/>
      </c>
      <c r="T73" s="108" t="str">
        <f t="shared" si="0"/>
        <v/>
      </c>
      <c r="U73" s="137" t="str">
        <f t="shared" si="1"/>
        <v/>
      </c>
    </row>
    <row r="74" spans="1:21" x14ac:dyDescent="0.3">
      <c r="A74" s="82">
        <f>IF(D11="",0,'Tournament Details'!G4)</f>
        <v>0</v>
      </c>
      <c r="B74" s="90">
        <v>64</v>
      </c>
      <c r="C74" s="112" t="str">
        <f>IF('Tournament Details'!C70="","",B74)</f>
        <v/>
      </c>
      <c r="D74" s="105" t="str">
        <f>IF('Tournament Details'!C70="","",VLOOKUP(C74,'Tournament Details'!$B:$C,2,FALSE))</f>
        <v/>
      </c>
      <c r="E74" s="113" t="str">
        <f>IF(D74="","",VLOOKUP(D74,'Tournament Details'!$C:$H,6,FALSE))</f>
        <v/>
      </c>
      <c r="F74" s="113" t="str">
        <f>IF(D74="","",VLOOKUP(D74,'Tournament Details'!$C:$D,2,FALSE))</f>
        <v/>
      </c>
      <c r="G74" s="114" t="str">
        <f>IF(D74="","",VLOOKUP(D74,'Tournament Details'!$C:$E,3,FALSE))</f>
        <v/>
      </c>
      <c r="H74" s="268" t="str">
        <f>IF(D74="","",IF(VLOOKUP(D74,'Tournament Details'!$C:$G,5,FALSE)="","",VLOOKUP(D74,'Tournament Details'!$C:$G,5,FALSE)))</f>
        <v/>
      </c>
      <c r="I74" s="269"/>
      <c r="J74" s="155" t="str">
        <f>IF(D74="","",IF(COUNTIF('Round 1'!$D:$D,B74)=1,IF(VLOOKUP(D74,'Round 1'!$D:$Q,14,FALSE)="",0,IF(A74&gt;=1,VLOOKUP(D74,'Round 1'!$D:$Q,14,FALSE),0)),0))</f>
        <v/>
      </c>
      <c r="K74" s="95" t="str">
        <f>IF(D74="","",IF(COUNTIF('Round 1'!$D:$D,B74)=1,IF(VLOOKUP(D74,'Round 1'!$D:$Q,14,FALSE)="",0,IF(A74&gt;=1,VLOOKUP(D74,'Round 1'!$D:$K,8,FALSE),0)),0))</f>
        <v/>
      </c>
      <c r="L74" s="96" t="str">
        <f>IF(D74="","",IF(COUNTIF('Round 2'!$D:$D,B74)=1,IF(VLOOKUP(D74,'Round 2'!$D:$Q,14,FALSE)="",0,IF(A74&gt;=2,VLOOKUP(D74,'Round 2'!$D:$Q,14,FALSE),0)),0))</f>
        <v/>
      </c>
      <c r="M74" s="97" t="str">
        <f>IF(D74="","",IF(COUNTIF('Round 2'!$D:$D,B74)=1,IF(VLOOKUP(D74,'Round 2'!$D:$Q,14,FALSE)="",0,IF(A74&gt;=2,VLOOKUP(D74,'Round 2'!$D:$K,8,FALSE),0)),0))</f>
        <v/>
      </c>
      <c r="N74" s="98" t="str">
        <f>IF(D74="","",IF(COUNTIF('Round 3'!$D:$D,B74)=1,IF(VLOOKUP(D74,'Round 3'!$D:$Q,14,FALSE)="",0,IF(A74&gt;=3,VLOOKUP(D74,'Round 3'!$D:$Q,14,FALSE),0)),0))</f>
        <v/>
      </c>
      <c r="O74" s="99" t="str">
        <f>IF(D74="","",IF(COUNTIF('Round 3'!$D:$D,B74)=1,IF(VLOOKUP(D74,'Round 3'!$D:$Q,14,FALSE)="",0,IF(A74&gt;=3,VLOOKUP(D74,'Round 3'!$D:$K,8,FALSE),0)),0))</f>
        <v/>
      </c>
      <c r="P74" s="100" t="str">
        <f>IF(D74="","",IF(COUNTIF('Round 4'!$D:$D,B74)=1,IF(VLOOKUP(D74,'Round 4'!$D:$Q,14,FALSE)="",0,IF(A74&gt;=4,VLOOKUP(D74,'Round 4'!$D:$Q,14,FALSE),0)),0))</f>
        <v/>
      </c>
      <c r="Q74" s="101" t="str">
        <f>IF(D74="","",IF(COUNTIF('Round 4'!$D:$D,B74)=1,IF(VLOOKUP(D74,'Round 4'!$D:$Q,14,FALSE)="",0,IF(A74&gt;=4,VLOOKUP(D74,'Round 4'!$D:$K,8,FALSE),0)),0))</f>
        <v/>
      </c>
      <c r="R74" s="102" t="str">
        <f>IF(D74="","",IF(COUNTIF('Round 5'!$D:$D,B74)=1,IF(VLOOKUP(D74,'Round 5'!$D:$Q,14,FALSE)="",0,IF(A74&gt;=5,VLOOKUP(D74,'Round 5'!$D:$Q,14,FALSE),0)),0))</f>
        <v/>
      </c>
      <c r="S74" s="103" t="str">
        <f>IF(D74="","",IF(COUNTIF('Round 5'!$D:$D,B74)=1,IF(VLOOKUP(D74,'Round 5'!$D:$Q,14,FALSE)="",0,IF(A74&gt;=5,VLOOKUP(D74,'Round 5'!$D:$K,8,FALSE),0)),0))</f>
        <v/>
      </c>
      <c r="T74" s="108" t="str">
        <f t="shared" si="0"/>
        <v/>
      </c>
      <c r="U74" s="137" t="str">
        <f t="shared" si="1"/>
        <v/>
      </c>
    </row>
    <row r="75" spans="1:21" x14ac:dyDescent="0.3">
      <c r="A75" s="82">
        <f>IF(D11="",0,'Tournament Details'!G4)</f>
        <v>0</v>
      </c>
      <c r="B75" s="90">
        <v>65</v>
      </c>
      <c r="C75" s="112" t="str">
        <f>IF('Tournament Details'!C71="","",B75)</f>
        <v/>
      </c>
      <c r="D75" s="105" t="str">
        <f>IF('Tournament Details'!C71="","",VLOOKUP(C75,'Tournament Details'!$B:$C,2,FALSE))</f>
        <v/>
      </c>
      <c r="E75" s="113" t="str">
        <f>IF(D75="","",VLOOKUP(D75,'Tournament Details'!$C:$H,6,FALSE))</f>
        <v/>
      </c>
      <c r="F75" s="113" t="str">
        <f>IF(D75="","",VLOOKUP(D75,'Tournament Details'!$C:$D,2,FALSE))</f>
        <v/>
      </c>
      <c r="G75" s="114" t="str">
        <f>IF(D75="","",VLOOKUP(D75,'Tournament Details'!$C:$E,3,FALSE))</f>
        <v/>
      </c>
      <c r="H75" s="268" t="str">
        <f>IF(D75="","",IF(VLOOKUP(D75,'Tournament Details'!$C:$G,5,FALSE)="","",VLOOKUP(D75,'Tournament Details'!$C:$G,5,FALSE)))</f>
        <v/>
      </c>
      <c r="I75" s="269"/>
      <c r="J75" s="155" t="str">
        <f>IF(D75="","",IF(COUNTIF('Round 1'!$D:$D,B75)=1,IF(VLOOKUP(D75,'Round 1'!$D:$Q,14,FALSE)="",0,IF(A75&gt;=1,VLOOKUP(D75,'Round 1'!$D:$Q,14,FALSE),0)),0))</f>
        <v/>
      </c>
      <c r="K75" s="95" t="str">
        <f>IF(D75="","",IF(COUNTIF('Round 1'!$D:$D,B75)=1,IF(VLOOKUP(D75,'Round 1'!$D:$Q,14,FALSE)="",0,IF(A75&gt;=1,VLOOKUP(D75,'Round 1'!$D:$K,8,FALSE),0)),0))</f>
        <v/>
      </c>
      <c r="L75" s="96" t="str">
        <f>IF(D75="","",IF(COUNTIF('Round 2'!$D:$D,B75)=1,IF(VLOOKUP(D75,'Round 2'!$D:$Q,14,FALSE)="",0,IF(A75&gt;=2,VLOOKUP(D75,'Round 2'!$D:$Q,14,FALSE),0)),0))</f>
        <v/>
      </c>
      <c r="M75" s="97" t="str">
        <f>IF(D75="","",IF(COUNTIF('Round 2'!$D:$D,B75)=1,IF(VLOOKUP(D75,'Round 2'!$D:$Q,14,FALSE)="",0,IF(A75&gt;=2,VLOOKUP(D75,'Round 2'!$D:$K,8,FALSE),0)),0))</f>
        <v/>
      </c>
      <c r="N75" s="98" t="str">
        <f>IF(D75="","",IF(COUNTIF('Round 3'!$D:$D,B75)=1,IF(VLOOKUP(D75,'Round 3'!$D:$Q,14,FALSE)="",0,IF(A75&gt;=3,VLOOKUP(D75,'Round 3'!$D:$Q,14,FALSE),0)),0))</f>
        <v/>
      </c>
      <c r="O75" s="99" t="str">
        <f>IF(D75="","",IF(COUNTIF('Round 3'!$D:$D,B75)=1,IF(VLOOKUP(D75,'Round 3'!$D:$Q,14,FALSE)="",0,IF(A75&gt;=3,VLOOKUP(D75,'Round 3'!$D:$K,8,FALSE),0)),0))</f>
        <v/>
      </c>
      <c r="P75" s="100" t="str">
        <f>IF(D75="","",IF(COUNTIF('Round 4'!$D:$D,B75)=1,IF(VLOOKUP(D75,'Round 4'!$D:$Q,14,FALSE)="",0,IF(A75&gt;=4,VLOOKUP(D75,'Round 4'!$D:$Q,14,FALSE),0)),0))</f>
        <v/>
      </c>
      <c r="Q75" s="101" t="str">
        <f>IF(D75="","",IF(COUNTIF('Round 4'!$D:$D,B75)=1,IF(VLOOKUP(D75,'Round 4'!$D:$Q,14,FALSE)="",0,IF(A75&gt;=4,VLOOKUP(D75,'Round 4'!$D:$K,8,FALSE),0)),0))</f>
        <v/>
      </c>
      <c r="R75" s="102" t="str">
        <f>IF(D75="","",IF(COUNTIF('Round 5'!$D:$D,B75)=1,IF(VLOOKUP(D75,'Round 5'!$D:$Q,14,FALSE)="",0,IF(A75&gt;=5,VLOOKUP(D75,'Round 5'!$D:$Q,14,FALSE),0)),0))</f>
        <v/>
      </c>
      <c r="S75" s="103" t="str">
        <f>IF(D75="","",IF(COUNTIF('Round 5'!$D:$D,B75)=1,IF(VLOOKUP(D75,'Round 5'!$D:$Q,14,FALSE)="",0,IF(A75&gt;=5,VLOOKUP(D75,'Round 5'!$D:$K,8,FALSE),0)),0))</f>
        <v/>
      </c>
      <c r="T75" s="108" t="str">
        <f t="shared" si="0"/>
        <v/>
      </c>
      <c r="U75" s="137" t="str">
        <f t="shared" si="1"/>
        <v/>
      </c>
    </row>
    <row r="76" spans="1:21" x14ac:dyDescent="0.3">
      <c r="A76" s="82">
        <f>IF(D11="",0,'Tournament Details'!G4)</f>
        <v>0</v>
      </c>
      <c r="B76" s="90">
        <v>66</v>
      </c>
      <c r="C76" s="112" t="str">
        <f>IF('Tournament Details'!C72="","",B76)</f>
        <v/>
      </c>
      <c r="D76" s="105" t="str">
        <f>IF('Tournament Details'!C72="","",VLOOKUP(C76,'Tournament Details'!$B:$C,2,FALSE))</f>
        <v/>
      </c>
      <c r="E76" s="113" t="str">
        <f>IF(D76="","",VLOOKUP(D76,'Tournament Details'!$C:$H,6,FALSE))</f>
        <v/>
      </c>
      <c r="F76" s="113" t="str">
        <f>IF(D76="","",VLOOKUP(D76,'Tournament Details'!$C:$D,2,FALSE))</f>
        <v/>
      </c>
      <c r="G76" s="114" t="str">
        <f>IF(D76="","",VLOOKUP(D76,'Tournament Details'!$C:$E,3,FALSE))</f>
        <v/>
      </c>
      <c r="H76" s="268" t="str">
        <f>IF(D76="","",IF(VLOOKUP(D76,'Tournament Details'!$C:$G,5,FALSE)="","",VLOOKUP(D76,'Tournament Details'!$C:$G,5,FALSE)))</f>
        <v/>
      </c>
      <c r="I76" s="269"/>
      <c r="J76" s="155" t="str">
        <f>IF(D76="","",IF(COUNTIF('Round 1'!$D:$D,B76)=1,IF(VLOOKUP(D76,'Round 1'!$D:$Q,14,FALSE)="",0,IF(A76&gt;=1,VLOOKUP(D76,'Round 1'!$D:$Q,14,FALSE),0)),0))</f>
        <v/>
      </c>
      <c r="K76" s="95" t="str">
        <f>IF(D76="","",IF(COUNTIF('Round 1'!$D:$D,B76)=1,IF(VLOOKUP(D76,'Round 1'!$D:$Q,14,FALSE)="",0,IF(A76&gt;=1,VLOOKUP(D76,'Round 1'!$D:$K,8,FALSE),0)),0))</f>
        <v/>
      </c>
      <c r="L76" s="96" t="str">
        <f>IF(D76="","",IF(COUNTIF('Round 2'!$D:$D,B76)=1,IF(VLOOKUP(D76,'Round 2'!$D:$Q,14,FALSE)="",0,IF(A76&gt;=2,VLOOKUP(D76,'Round 2'!$D:$Q,14,FALSE),0)),0))</f>
        <v/>
      </c>
      <c r="M76" s="97" t="str">
        <f>IF(D76="","",IF(COUNTIF('Round 2'!$D:$D,B76)=1,IF(VLOOKUP(D76,'Round 2'!$D:$Q,14,FALSE)="",0,IF(A76&gt;=2,VLOOKUP(D76,'Round 2'!$D:$K,8,FALSE),0)),0))</f>
        <v/>
      </c>
      <c r="N76" s="98" t="str">
        <f>IF(D76="","",IF(COUNTIF('Round 3'!$D:$D,B76)=1,IF(VLOOKUP(D76,'Round 3'!$D:$Q,14,FALSE)="",0,IF(A76&gt;=3,VLOOKUP(D76,'Round 3'!$D:$Q,14,FALSE),0)),0))</f>
        <v/>
      </c>
      <c r="O76" s="99" t="str">
        <f>IF(D76="","",IF(COUNTIF('Round 3'!$D:$D,B76)=1,IF(VLOOKUP(D76,'Round 3'!$D:$Q,14,FALSE)="",0,IF(A76&gt;=3,VLOOKUP(D76,'Round 3'!$D:$K,8,FALSE),0)),0))</f>
        <v/>
      </c>
      <c r="P76" s="100" t="str">
        <f>IF(D76="","",IF(COUNTIF('Round 4'!$D:$D,B76)=1,IF(VLOOKUP(D76,'Round 4'!$D:$Q,14,FALSE)="",0,IF(A76&gt;=4,VLOOKUP(D76,'Round 4'!$D:$Q,14,FALSE),0)),0))</f>
        <v/>
      </c>
      <c r="Q76" s="101" t="str">
        <f>IF(D76="","",IF(COUNTIF('Round 4'!$D:$D,B76)=1,IF(VLOOKUP(D76,'Round 4'!$D:$Q,14,FALSE)="",0,IF(A76&gt;=4,VLOOKUP(D76,'Round 4'!$D:$K,8,FALSE),0)),0))</f>
        <v/>
      </c>
      <c r="R76" s="102" t="str">
        <f>IF(D76="","",IF(COUNTIF('Round 5'!$D:$D,B76)=1,IF(VLOOKUP(D76,'Round 5'!$D:$Q,14,FALSE)="",0,IF(A76&gt;=5,VLOOKUP(D76,'Round 5'!$D:$Q,14,FALSE),0)),0))</f>
        <v/>
      </c>
      <c r="S76" s="103" t="str">
        <f>IF(D76="","",IF(COUNTIF('Round 5'!$D:$D,B76)=1,IF(VLOOKUP(D76,'Round 5'!$D:$Q,14,FALSE)="",0,IF(A76&gt;=5,VLOOKUP(D76,'Round 5'!$D:$K,8,FALSE),0)),0))</f>
        <v/>
      </c>
      <c r="T76" s="108" t="str">
        <f t="shared" ref="T76:T90" si="2">IF(D76="","",J76+L76+N76+P76+R76)</f>
        <v/>
      </c>
      <c r="U76" s="137" t="str">
        <f t="shared" ref="U76:U90" si="3">IF(D76="","",K76+M76+O76+Q76+S76)</f>
        <v/>
      </c>
    </row>
    <row r="77" spans="1:21" x14ac:dyDescent="0.3">
      <c r="A77" s="82">
        <f>IF(D11="",0,'Tournament Details'!G4)</f>
        <v>0</v>
      </c>
      <c r="B77" s="90">
        <v>67</v>
      </c>
      <c r="C77" s="112" t="str">
        <f>IF('Tournament Details'!C73="","",B77)</f>
        <v/>
      </c>
      <c r="D77" s="105" t="str">
        <f>IF('Tournament Details'!C73="","",VLOOKUP(C77,'Tournament Details'!$B:$C,2,FALSE))</f>
        <v/>
      </c>
      <c r="E77" s="113" t="str">
        <f>IF(D77="","",VLOOKUP(D77,'Tournament Details'!$C:$H,6,FALSE))</f>
        <v/>
      </c>
      <c r="F77" s="113" t="str">
        <f>IF(D77="","",VLOOKUP(D77,'Tournament Details'!$C:$D,2,FALSE))</f>
        <v/>
      </c>
      <c r="G77" s="114" t="str">
        <f>IF(D77="","",VLOOKUP(D77,'Tournament Details'!$C:$E,3,FALSE))</f>
        <v/>
      </c>
      <c r="H77" s="268" t="str">
        <f>IF(D77="","",IF(VLOOKUP(D77,'Tournament Details'!$C:$G,5,FALSE)="","",VLOOKUP(D77,'Tournament Details'!$C:$G,5,FALSE)))</f>
        <v/>
      </c>
      <c r="I77" s="269"/>
      <c r="J77" s="155" t="str">
        <f>IF(D77="","",IF(COUNTIF('Round 1'!$D:$D,B77)=1,IF(VLOOKUP(D77,'Round 1'!$D:$Q,14,FALSE)="",0,IF(A77&gt;=1,VLOOKUP(D77,'Round 1'!$D:$Q,14,FALSE),0)),0))</f>
        <v/>
      </c>
      <c r="K77" s="95" t="str">
        <f>IF(D77="","",IF(COUNTIF('Round 1'!$D:$D,B77)=1,IF(VLOOKUP(D77,'Round 1'!$D:$Q,14,FALSE)="",0,IF(A77&gt;=1,VLOOKUP(D77,'Round 1'!$D:$K,8,FALSE),0)),0))</f>
        <v/>
      </c>
      <c r="L77" s="96" t="str">
        <f>IF(D77="","",IF(COUNTIF('Round 2'!$D:$D,B77)=1,IF(VLOOKUP(D77,'Round 2'!$D:$Q,14,FALSE)="",0,IF(A77&gt;=2,VLOOKUP(D77,'Round 2'!$D:$Q,14,FALSE),0)),0))</f>
        <v/>
      </c>
      <c r="M77" s="97" t="str">
        <f>IF(D77="","",IF(COUNTIF('Round 2'!$D:$D,B77)=1,IF(VLOOKUP(D77,'Round 2'!$D:$Q,14,FALSE)="",0,IF(A77&gt;=2,VLOOKUP(D77,'Round 2'!$D:$K,8,FALSE),0)),0))</f>
        <v/>
      </c>
      <c r="N77" s="98" t="str">
        <f>IF(D77="","",IF(COUNTIF('Round 3'!$D:$D,B77)=1,IF(VLOOKUP(D77,'Round 3'!$D:$Q,14,FALSE)="",0,IF(A77&gt;=3,VLOOKUP(D77,'Round 3'!$D:$Q,14,FALSE),0)),0))</f>
        <v/>
      </c>
      <c r="O77" s="99" t="str">
        <f>IF(D77="","",IF(COUNTIF('Round 3'!$D:$D,B77)=1,IF(VLOOKUP(D77,'Round 3'!$D:$Q,14,FALSE)="",0,IF(A77&gt;=3,VLOOKUP(D77,'Round 3'!$D:$K,8,FALSE),0)),0))</f>
        <v/>
      </c>
      <c r="P77" s="100" t="str">
        <f>IF(D77="","",IF(COUNTIF('Round 4'!$D:$D,B77)=1,IF(VLOOKUP(D77,'Round 4'!$D:$Q,14,FALSE)="",0,IF(A77&gt;=4,VLOOKUP(D77,'Round 4'!$D:$Q,14,FALSE),0)),0))</f>
        <v/>
      </c>
      <c r="Q77" s="101" t="str">
        <f>IF(D77="","",IF(COUNTIF('Round 4'!$D:$D,B77)=1,IF(VLOOKUP(D77,'Round 4'!$D:$Q,14,FALSE)="",0,IF(A77&gt;=4,VLOOKUP(D77,'Round 4'!$D:$K,8,FALSE),0)),0))</f>
        <v/>
      </c>
      <c r="R77" s="102" t="str">
        <f>IF(D77="","",IF(COUNTIF('Round 5'!$D:$D,B77)=1,IF(VLOOKUP(D77,'Round 5'!$D:$Q,14,FALSE)="",0,IF(A77&gt;=5,VLOOKUP(D77,'Round 5'!$D:$Q,14,FALSE),0)),0))</f>
        <v/>
      </c>
      <c r="S77" s="103" t="str">
        <f>IF(D77="","",IF(COUNTIF('Round 5'!$D:$D,B77)=1,IF(VLOOKUP(D77,'Round 5'!$D:$Q,14,FALSE)="",0,IF(A77&gt;=5,VLOOKUP(D77,'Round 5'!$D:$K,8,FALSE),0)),0))</f>
        <v/>
      </c>
      <c r="T77" s="108" t="str">
        <f t="shared" si="2"/>
        <v/>
      </c>
      <c r="U77" s="137" t="str">
        <f t="shared" si="3"/>
        <v/>
      </c>
    </row>
    <row r="78" spans="1:21" x14ac:dyDescent="0.3">
      <c r="A78" s="82">
        <f>IF(D11="",0,'Tournament Details'!G4)</f>
        <v>0</v>
      </c>
      <c r="B78" s="90">
        <v>68</v>
      </c>
      <c r="C78" s="112" t="str">
        <f>IF('Tournament Details'!C74="","",B78)</f>
        <v/>
      </c>
      <c r="D78" s="105" t="str">
        <f>IF('Tournament Details'!C74="","",VLOOKUP(C78,'Tournament Details'!$B:$C,2,FALSE))</f>
        <v/>
      </c>
      <c r="E78" s="113" t="str">
        <f>IF(D78="","",VLOOKUP(D78,'Tournament Details'!$C:$H,6,FALSE))</f>
        <v/>
      </c>
      <c r="F78" s="113" t="str">
        <f>IF(D78="","",VLOOKUP(D78,'Tournament Details'!$C:$D,2,FALSE))</f>
        <v/>
      </c>
      <c r="G78" s="114" t="str">
        <f>IF(D78="","",VLOOKUP(D78,'Tournament Details'!$C:$E,3,FALSE))</f>
        <v/>
      </c>
      <c r="H78" s="268" t="str">
        <f>IF(D78="","",IF(VLOOKUP(D78,'Tournament Details'!$C:$G,5,FALSE)="","",VLOOKUP(D78,'Tournament Details'!$C:$G,5,FALSE)))</f>
        <v/>
      </c>
      <c r="I78" s="269"/>
      <c r="J78" s="155" t="str">
        <f>IF(D78="","",IF(COUNTIF('Round 1'!$D:$D,B78)=1,IF(VLOOKUP(D78,'Round 1'!$D:$Q,14,FALSE)="",0,IF(A78&gt;=1,VLOOKUP(D78,'Round 1'!$D:$Q,14,FALSE),0)),0))</f>
        <v/>
      </c>
      <c r="K78" s="95" t="str">
        <f>IF(D78="","",IF(COUNTIF('Round 1'!$D:$D,B78)=1,IF(VLOOKUP(D78,'Round 1'!$D:$Q,14,FALSE)="",0,IF(A78&gt;=1,VLOOKUP(D78,'Round 1'!$D:$K,8,FALSE),0)),0))</f>
        <v/>
      </c>
      <c r="L78" s="96" t="str">
        <f>IF(D78="","",IF(COUNTIF('Round 2'!$D:$D,B78)=1,IF(VLOOKUP(D78,'Round 2'!$D:$Q,14,FALSE)="",0,IF(A78&gt;=2,VLOOKUP(D78,'Round 2'!$D:$Q,14,FALSE),0)),0))</f>
        <v/>
      </c>
      <c r="M78" s="97" t="str">
        <f>IF(D78="","",IF(COUNTIF('Round 2'!$D:$D,B78)=1,IF(VLOOKUP(D78,'Round 2'!$D:$Q,14,FALSE)="",0,IF(A78&gt;=2,VLOOKUP(D78,'Round 2'!$D:$K,8,FALSE),0)),0))</f>
        <v/>
      </c>
      <c r="N78" s="98" t="str">
        <f>IF(D78="","",IF(COUNTIF('Round 3'!$D:$D,B78)=1,IF(VLOOKUP(D78,'Round 3'!$D:$Q,14,FALSE)="",0,IF(A78&gt;=3,VLOOKUP(D78,'Round 3'!$D:$Q,14,FALSE),0)),0))</f>
        <v/>
      </c>
      <c r="O78" s="99" t="str">
        <f>IF(D78="","",IF(COUNTIF('Round 3'!$D:$D,B78)=1,IF(VLOOKUP(D78,'Round 3'!$D:$Q,14,FALSE)="",0,IF(A78&gt;=3,VLOOKUP(D78,'Round 3'!$D:$K,8,FALSE),0)),0))</f>
        <v/>
      </c>
      <c r="P78" s="100" t="str">
        <f>IF(D78="","",IF(COUNTIF('Round 4'!$D:$D,B78)=1,IF(VLOOKUP(D78,'Round 4'!$D:$Q,14,FALSE)="",0,IF(A78&gt;=4,VLOOKUP(D78,'Round 4'!$D:$Q,14,FALSE),0)),0))</f>
        <v/>
      </c>
      <c r="Q78" s="101" t="str">
        <f>IF(D78="","",IF(COUNTIF('Round 4'!$D:$D,B78)=1,IF(VLOOKUP(D78,'Round 4'!$D:$Q,14,FALSE)="",0,IF(A78&gt;=4,VLOOKUP(D78,'Round 4'!$D:$K,8,FALSE),0)),0))</f>
        <v/>
      </c>
      <c r="R78" s="102" t="str">
        <f>IF(D78="","",IF(COUNTIF('Round 5'!$D:$D,B78)=1,IF(VLOOKUP(D78,'Round 5'!$D:$Q,14,FALSE)="",0,IF(A78&gt;=5,VLOOKUP(D78,'Round 5'!$D:$Q,14,FALSE),0)),0))</f>
        <v/>
      </c>
      <c r="S78" s="103" t="str">
        <f>IF(D78="","",IF(COUNTIF('Round 5'!$D:$D,B78)=1,IF(VLOOKUP(D78,'Round 5'!$D:$Q,14,FALSE)="",0,IF(A78&gt;=5,VLOOKUP(D78,'Round 5'!$D:$K,8,FALSE),0)),0))</f>
        <v/>
      </c>
      <c r="T78" s="108" t="str">
        <f t="shared" si="2"/>
        <v/>
      </c>
      <c r="U78" s="137" t="str">
        <f t="shared" si="3"/>
        <v/>
      </c>
    </row>
    <row r="79" spans="1:21" x14ac:dyDescent="0.3">
      <c r="A79" s="82">
        <f>IF(D11="",0,'Tournament Details'!G4)</f>
        <v>0</v>
      </c>
      <c r="B79" s="90">
        <v>69</v>
      </c>
      <c r="C79" s="112" t="str">
        <f>IF('Tournament Details'!C75="","",B79)</f>
        <v/>
      </c>
      <c r="D79" s="105" t="str">
        <f>IF('Tournament Details'!C75="","",VLOOKUP(C79,'Tournament Details'!$B:$C,2,FALSE))</f>
        <v/>
      </c>
      <c r="E79" s="113" t="str">
        <f>IF(D79="","",VLOOKUP(D79,'Tournament Details'!$C:$H,6,FALSE))</f>
        <v/>
      </c>
      <c r="F79" s="113" t="str">
        <f>IF(D79="","",VLOOKUP(D79,'Tournament Details'!$C:$D,2,FALSE))</f>
        <v/>
      </c>
      <c r="G79" s="114" t="str">
        <f>IF(D79="","",VLOOKUP(D79,'Tournament Details'!$C:$E,3,FALSE))</f>
        <v/>
      </c>
      <c r="H79" s="268" t="str">
        <f>IF(D79="","",IF(VLOOKUP(D79,'Tournament Details'!$C:$G,5,FALSE)="","",VLOOKUP(D79,'Tournament Details'!$C:$G,5,FALSE)))</f>
        <v/>
      </c>
      <c r="I79" s="269"/>
      <c r="J79" s="155" t="str">
        <f>IF(D79="","",IF(COUNTIF('Round 1'!$D:$D,B79)=1,IF(VLOOKUP(D79,'Round 1'!$D:$Q,14,FALSE)="",0,IF(A79&gt;=1,VLOOKUP(D79,'Round 1'!$D:$Q,14,FALSE),0)),0))</f>
        <v/>
      </c>
      <c r="K79" s="95" t="str">
        <f>IF(D79="","",IF(COUNTIF('Round 1'!$D:$D,B79)=1,IF(VLOOKUP(D79,'Round 1'!$D:$Q,14,FALSE)="",0,IF(A79&gt;=1,VLOOKUP(D79,'Round 1'!$D:$K,8,FALSE),0)),0))</f>
        <v/>
      </c>
      <c r="L79" s="96" t="str">
        <f>IF(D79="","",IF(COUNTIF('Round 2'!$D:$D,B79)=1,IF(VLOOKUP(D79,'Round 2'!$D:$Q,14,FALSE)="",0,IF(A79&gt;=2,VLOOKUP(D79,'Round 2'!$D:$Q,14,FALSE),0)),0))</f>
        <v/>
      </c>
      <c r="M79" s="97" t="str">
        <f>IF(D79="","",IF(COUNTIF('Round 2'!$D:$D,B79)=1,IF(VLOOKUP(D79,'Round 2'!$D:$Q,14,FALSE)="",0,IF(A79&gt;=2,VLOOKUP(D79,'Round 2'!$D:$K,8,FALSE),0)),0))</f>
        <v/>
      </c>
      <c r="N79" s="98" t="str">
        <f>IF(D79="","",IF(COUNTIF('Round 3'!$D:$D,B79)=1,IF(VLOOKUP(D79,'Round 3'!$D:$Q,14,FALSE)="",0,IF(A79&gt;=3,VLOOKUP(D79,'Round 3'!$D:$Q,14,FALSE),0)),0))</f>
        <v/>
      </c>
      <c r="O79" s="99" t="str">
        <f>IF(D79="","",IF(COUNTIF('Round 3'!$D:$D,B79)=1,IF(VLOOKUP(D79,'Round 3'!$D:$Q,14,FALSE)="",0,IF(A79&gt;=3,VLOOKUP(D79,'Round 3'!$D:$K,8,FALSE),0)),0))</f>
        <v/>
      </c>
      <c r="P79" s="100" t="str">
        <f>IF(D79="","",IF(COUNTIF('Round 4'!$D:$D,B79)=1,IF(VLOOKUP(D79,'Round 4'!$D:$Q,14,FALSE)="",0,IF(A79&gt;=4,VLOOKUP(D79,'Round 4'!$D:$Q,14,FALSE),0)),0))</f>
        <v/>
      </c>
      <c r="Q79" s="101" t="str">
        <f>IF(D79="","",IF(COUNTIF('Round 4'!$D:$D,B79)=1,IF(VLOOKUP(D79,'Round 4'!$D:$Q,14,FALSE)="",0,IF(A79&gt;=4,VLOOKUP(D79,'Round 4'!$D:$K,8,FALSE),0)),0))</f>
        <v/>
      </c>
      <c r="R79" s="102" t="str">
        <f>IF(D79="","",IF(COUNTIF('Round 5'!$D:$D,B79)=1,IF(VLOOKUP(D79,'Round 5'!$D:$Q,14,FALSE)="",0,IF(A79&gt;=5,VLOOKUP(D79,'Round 5'!$D:$Q,14,FALSE),0)),0))</f>
        <v/>
      </c>
      <c r="S79" s="103" t="str">
        <f>IF(D79="","",IF(COUNTIF('Round 5'!$D:$D,B79)=1,IF(VLOOKUP(D79,'Round 5'!$D:$Q,14,FALSE)="",0,IF(A79&gt;=5,VLOOKUP(D79,'Round 5'!$D:$K,8,FALSE),0)),0))</f>
        <v/>
      </c>
      <c r="T79" s="108" t="str">
        <f t="shared" si="2"/>
        <v/>
      </c>
      <c r="U79" s="137" t="str">
        <f t="shared" si="3"/>
        <v/>
      </c>
    </row>
    <row r="80" spans="1:21" x14ac:dyDescent="0.3">
      <c r="A80" s="82">
        <f>IF(D11="",0,'Tournament Details'!G4)</f>
        <v>0</v>
      </c>
      <c r="B80" s="90">
        <v>70</v>
      </c>
      <c r="C80" s="112" t="str">
        <f>IF('Tournament Details'!C76="","",B80)</f>
        <v/>
      </c>
      <c r="D80" s="105" t="str">
        <f>IF('Tournament Details'!C76="","",VLOOKUP(C80,'Tournament Details'!$B:$C,2,FALSE))</f>
        <v/>
      </c>
      <c r="E80" s="113" t="str">
        <f>IF(D80="","",VLOOKUP(D80,'Tournament Details'!$C:$H,6,FALSE))</f>
        <v/>
      </c>
      <c r="F80" s="113" t="str">
        <f>IF(D80="","",VLOOKUP(D80,'Tournament Details'!$C:$D,2,FALSE))</f>
        <v/>
      </c>
      <c r="G80" s="114" t="str">
        <f>IF(D80="","",VLOOKUP(D80,'Tournament Details'!$C:$E,3,FALSE))</f>
        <v/>
      </c>
      <c r="H80" s="268" t="str">
        <f>IF(D80="","",IF(VLOOKUP(D80,'Tournament Details'!$C:$G,5,FALSE)="","",VLOOKUP(D80,'Tournament Details'!$C:$G,5,FALSE)))</f>
        <v/>
      </c>
      <c r="I80" s="269"/>
      <c r="J80" s="155" t="str">
        <f>IF(D80="","",IF(COUNTIF('Round 1'!$D:$D,B80)=1,IF(VLOOKUP(D80,'Round 1'!$D:$Q,14,FALSE)="",0,IF(A80&gt;=1,VLOOKUP(D80,'Round 1'!$D:$Q,14,FALSE),0)),0))</f>
        <v/>
      </c>
      <c r="K80" s="95" t="str">
        <f>IF(D80="","",IF(COUNTIF('Round 1'!$D:$D,B80)=1,IF(VLOOKUP(D80,'Round 1'!$D:$Q,14,FALSE)="",0,IF(A80&gt;=1,VLOOKUP(D80,'Round 1'!$D:$K,8,FALSE),0)),0))</f>
        <v/>
      </c>
      <c r="L80" s="96" t="str">
        <f>IF(D80="","",IF(COUNTIF('Round 2'!$D:$D,B80)=1,IF(VLOOKUP(D80,'Round 2'!$D:$Q,14,FALSE)="",0,IF(A80&gt;=2,VLOOKUP(D80,'Round 2'!$D:$Q,14,FALSE),0)),0))</f>
        <v/>
      </c>
      <c r="M80" s="97" t="str">
        <f>IF(D80="","",IF(COUNTIF('Round 2'!$D:$D,B80)=1,IF(VLOOKUP(D80,'Round 2'!$D:$Q,14,FALSE)="",0,IF(A80&gt;=2,VLOOKUP(D80,'Round 2'!$D:$K,8,FALSE),0)),0))</f>
        <v/>
      </c>
      <c r="N80" s="98" t="str">
        <f>IF(D80="","",IF(COUNTIF('Round 3'!$D:$D,B80)=1,IF(VLOOKUP(D80,'Round 3'!$D:$Q,14,FALSE)="",0,IF(A80&gt;=3,VLOOKUP(D80,'Round 3'!$D:$Q,14,FALSE),0)),0))</f>
        <v/>
      </c>
      <c r="O80" s="99" t="str">
        <f>IF(D80="","",IF(COUNTIF('Round 3'!$D:$D,B80)=1,IF(VLOOKUP(D80,'Round 3'!$D:$Q,14,FALSE)="",0,IF(A80&gt;=3,VLOOKUP(D80,'Round 3'!$D:$K,8,FALSE),0)),0))</f>
        <v/>
      </c>
      <c r="P80" s="100" t="str">
        <f>IF(D80="","",IF(COUNTIF('Round 4'!$D:$D,B80)=1,IF(VLOOKUP(D80,'Round 4'!$D:$Q,14,FALSE)="",0,IF(A80&gt;=4,VLOOKUP(D80,'Round 4'!$D:$Q,14,FALSE),0)),0))</f>
        <v/>
      </c>
      <c r="Q80" s="101" t="str">
        <f>IF(D80="","",IF(COUNTIF('Round 4'!$D:$D,B80)=1,IF(VLOOKUP(D80,'Round 4'!$D:$Q,14,FALSE)="",0,IF(A80&gt;=4,VLOOKUP(D80,'Round 4'!$D:$K,8,FALSE),0)),0))</f>
        <v/>
      </c>
      <c r="R80" s="102" t="str">
        <f>IF(D80="","",IF(COUNTIF('Round 5'!$D:$D,B80)=1,IF(VLOOKUP(D80,'Round 5'!$D:$Q,14,FALSE)="",0,IF(A80&gt;=5,VLOOKUP(D80,'Round 5'!$D:$Q,14,FALSE),0)),0))</f>
        <v/>
      </c>
      <c r="S80" s="103" t="str">
        <f>IF(D80="","",IF(COUNTIF('Round 5'!$D:$D,B80)=1,IF(VLOOKUP(D80,'Round 5'!$D:$Q,14,FALSE)="",0,IF(A80&gt;=5,VLOOKUP(D80,'Round 5'!$D:$K,8,FALSE),0)),0))</f>
        <v/>
      </c>
      <c r="T80" s="108" t="str">
        <f t="shared" si="2"/>
        <v/>
      </c>
      <c r="U80" s="137" t="str">
        <f t="shared" si="3"/>
        <v/>
      </c>
    </row>
    <row r="81" spans="1:21" x14ac:dyDescent="0.3">
      <c r="A81" s="82">
        <f>IF(D11="",0,'Tournament Details'!G4)</f>
        <v>0</v>
      </c>
      <c r="B81" s="90">
        <v>71</v>
      </c>
      <c r="C81" s="112" t="str">
        <f>IF('Tournament Details'!C77="","",B81)</f>
        <v/>
      </c>
      <c r="D81" s="105" t="str">
        <f>IF('Tournament Details'!C77="","",VLOOKUP(C81,'Tournament Details'!$B:$C,2,FALSE))</f>
        <v/>
      </c>
      <c r="E81" s="113" t="str">
        <f>IF(D81="","",VLOOKUP(D81,'Tournament Details'!$C:$H,6,FALSE))</f>
        <v/>
      </c>
      <c r="F81" s="113" t="str">
        <f>IF(D81="","",VLOOKUP(D81,'Tournament Details'!$C:$D,2,FALSE))</f>
        <v/>
      </c>
      <c r="G81" s="114" t="str">
        <f>IF(D81="","",VLOOKUP(D81,'Tournament Details'!$C:$E,3,FALSE))</f>
        <v/>
      </c>
      <c r="H81" s="268" t="str">
        <f>IF(D81="","",IF(VLOOKUP(D81,'Tournament Details'!$C:$G,5,FALSE)="","",VLOOKUP(D81,'Tournament Details'!$C:$G,5,FALSE)))</f>
        <v/>
      </c>
      <c r="I81" s="269"/>
      <c r="J81" s="155" t="str">
        <f>IF(D81="","",IF(COUNTIF('Round 1'!$D:$D,B81)=1,IF(VLOOKUP(D81,'Round 1'!$D:$Q,14,FALSE)="",0,IF(A81&gt;=1,VLOOKUP(D81,'Round 1'!$D:$Q,14,FALSE),0)),0))</f>
        <v/>
      </c>
      <c r="K81" s="95" t="str">
        <f>IF(D81="","",IF(COUNTIF('Round 1'!$D:$D,B81)=1,IF(VLOOKUP(D81,'Round 1'!$D:$Q,14,FALSE)="",0,IF(A81&gt;=1,VLOOKUP(D81,'Round 1'!$D:$K,8,FALSE),0)),0))</f>
        <v/>
      </c>
      <c r="L81" s="96" t="str">
        <f>IF(D81="","",IF(COUNTIF('Round 2'!$D:$D,B81)=1,IF(VLOOKUP(D81,'Round 2'!$D:$Q,14,FALSE)="",0,IF(A81&gt;=2,VLOOKUP(D81,'Round 2'!$D:$Q,14,FALSE),0)),0))</f>
        <v/>
      </c>
      <c r="M81" s="97" t="str">
        <f>IF(D81="","",IF(COUNTIF('Round 2'!$D:$D,B81)=1,IF(VLOOKUP(D81,'Round 2'!$D:$Q,14,FALSE)="",0,IF(A81&gt;=2,VLOOKUP(D81,'Round 2'!$D:$K,8,FALSE),0)),0))</f>
        <v/>
      </c>
      <c r="N81" s="98" t="str">
        <f>IF(D81="","",IF(COUNTIF('Round 3'!$D:$D,B81)=1,IF(VLOOKUP(D81,'Round 3'!$D:$Q,14,FALSE)="",0,IF(A81&gt;=3,VLOOKUP(D81,'Round 3'!$D:$Q,14,FALSE),0)),0))</f>
        <v/>
      </c>
      <c r="O81" s="99" t="str">
        <f>IF(D81="","",IF(COUNTIF('Round 3'!$D:$D,B81)=1,IF(VLOOKUP(D81,'Round 3'!$D:$Q,14,FALSE)="",0,IF(A81&gt;=3,VLOOKUP(D81,'Round 3'!$D:$K,8,FALSE),0)),0))</f>
        <v/>
      </c>
      <c r="P81" s="100" t="str">
        <f>IF(D81="","",IF(COUNTIF('Round 4'!$D:$D,B81)=1,IF(VLOOKUP(D81,'Round 4'!$D:$Q,14,FALSE)="",0,IF(A81&gt;=4,VLOOKUP(D81,'Round 4'!$D:$Q,14,FALSE),0)),0))</f>
        <v/>
      </c>
      <c r="Q81" s="101" t="str">
        <f>IF(D81="","",IF(COUNTIF('Round 4'!$D:$D,B81)=1,IF(VLOOKUP(D81,'Round 4'!$D:$Q,14,FALSE)="",0,IF(A81&gt;=4,VLOOKUP(D81,'Round 4'!$D:$K,8,FALSE),0)),0))</f>
        <v/>
      </c>
      <c r="R81" s="102" t="str">
        <f>IF(D81="","",IF(COUNTIF('Round 5'!$D:$D,B81)=1,IF(VLOOKUP(D81,'Round 5'!$D:$Q,14,FALSE)="",0,IF(A81&gt;=5,VLOOKUP(D81,'Round 5'!$D:$Q,14,FALSE),0)),0))</f>
        <v/>
      </c>
      <c r="S81" s="103" t="str">
        <f>IF(D81="","",IF(COUNTIF('Round 5'!$D:$D,B81)=1,IF(VLOOKUP(D81,'Round 5'!$D:$Q,14,FALSE)="",0,IF(A81&gt;=5,VLOOKUP(D81,'Round 5'!$D:$K,8,FALSE),0)),0))</f>
        <v/>
      </c>
      <c r="T81" s="108" t="str">
        <f t="shared" si="2"/>
        <v/>
      </c>
      <c r="U81" s="137" t="str">
        <f t="shared" si="3"/>
        <v/>
      </c>
    </row>
    <row r="82" spans="1:21" x14ac:dyDescent="0.3">
      <c r="A82" s="82">
        <f>IF(D11="",0,'Tournament Details'!G4)</f>
        <v>0</v>
      </c>
      <c r="B82" s="90">
        <v>72</v>
      </c>
      <c r="C82" s="112" t="str">
        <f>IF('Tournament Details'!C78="","",B82)</f>
        <v/>
      </c>
      <c r="D82" s="105" t="str">
        <f>IF('Tournament Details'!C78="","",VLOOKUP(C82,'Tournament Details'!$B:$C,2,FALSE))</f>
        <v/>
      </c>
      <c r="E82" s="113" t="str">
        <f>IF(D82="","",VLOOKUP(D82,'Tournament Details'!$C:$H,6,FALSE))</f>
        <v/>
      </c>
      <c r="F82" s="113" t="str">
        <f>IF(D82="","",VLOOKUP(D82,'Tournament Details'!$C:$D,2,FALSE))</f>
        <v/>
      </c>
      <c r="G82" s="114" t="str">
        <f>IF(D82="","",VLOOKUP(D82,'Tournament Details'!$C:$E,3,FALSE))</f>
        <v/>
      </c>
      <c r="H82" s="268" t="str">
        <f>IF(D82="","",IF(VLOOKUP(D82,'Tournament Details'!$C:$G,5,FALSE)="","",VLOOKUP(D82,'Tournament Details'!$C:$G,5,FALSE)))</f>
        <v/>
      </c>
      <c r="I82" s="269"/>
      <c r="J82" s="155" t="str">
        <f>IF(D82="","",IF(COUNTIF('Round 1'!$D:$D,B82)=1,IF(VLOOKUP(D82,'Round 1'!$D:$Q,14,FALSE)="",0,IF(A82&gt;=1,VLOOKUP(D82,'Round 1'!$D:$Q,14,FALSE),0)),0))</f>
        <v/>
      </c>
      <c r="K82" s="95" t="str">
        <f>IF(D82="","",IF(COUNTIF('Round 1'!$D:$D,B82)=1,IF(VLOOKUP(D82,'Round 1'!$D:$Q,14,FALSE)="",0,IF(A82&gt;=1,VLOOKUP(D82,'Round 1'!$D:$K,8,FALSE),0)),0))</f>
        <v/>
      </c>
      <c r="L82" s="96" t="str">
        <f>IF(D82="","",IF(COUNTIF('Round 2'!$D:$D,B82)=1,IF(VLOOKUP(D82,'Round 2'!$D:$Q,14,FALSE)="",0,IF(A82&gt;=2,VLOOKUP(D82,'Round 2'!$D:$Q,14,FALSE),0)),0))</f>
        <v/>
      </c>
      <c r="M82" s="97" t="str">
        <f>IF(D82="","",IF(COUNTIF('Round 2'!$D:$D,B82)=1,IF(VLOOKUP(D82,'Round 2'!$D:$Q,14,FALSE)="",0,IF(A82&gt;=2,VLOOKUP(D82,'Round 2'!$D:$K,8,FALSE),0)),0))</f>
        <v/>
      </c>
      <c r="N82" s="98" t="str">
        <f>IF(D82="","",IF(COUNTIF('Round 3'!$D:$D,B82)=1,IF(VLOOKUP(D82,'Round 3'!$D:$Q,14,FALSE)="",0,IF(A82&gt;=3,VLOOKUP(D82,'Round 3'!$D:$Q,14,FALSE),0)),0))</f>
        <v/>
      </c>
      <c r="O82" s="99" t="str">
        <f>IF(D82="","",IF(COUNTIF('Round 3'!$D:$D,B82)=1,IF(VLOOKUP(D82,'Round 3'!$D:$Q,14,FALSE)="",0,IF(A82&gt;=3,VLOOKUP(D82,'Round 3'!$D:$K,8,FALSE),0)),0))</f>
        <v/>
      </c>
      <c r="P82" s="100" t="str">
        <f>IF(D82="","",IF(COUNTIF('Round 4'!$D:$D,B82)=1,IF(VLOOKUP(D82,'Round 4'!$D:$Q,14,FALSE)="",0,IF(A82&gt;=4,VLOOKUP(D82,'Round 4'!$D:$Q,14,FALSE),0)),0))</f>
        <v/>
      </c>
      <c r="Q82" s="101" t="str">
        <f>IF(D82="","",IF(COUNTIF('Round 4'!$D:$D,B82)=1,IF(VLOOKUP(D82,'Round 4'!$D:$Q,14,FALSE)="",0,IF(A82&gt;=4,VLOOKUP(D82,'Round 4'!$D:$K,8,FALSE),0)),0))</f>
        <v/>
      </c>
      <c r="R82" s="102" t="str">
        <f>IF(D82="","",IF(COUNTIF('Round 5'!$D:$D,B82)=1,IF(VLOOKUP(D82,'Round 5'!$D:$Q,14,FALSE)="",0,IF(A82&gt;=5,VLOOKUP(D82,'Round 5'!$D:$Q,14,FALSE),0)),0))</f>
        <v/>
      </c>
      <c r="S82" s="103" t="str">
        <f>IF(D82="","",IF(COUNTIF('Round 5'!$D:$D,B82)=1,IF(VLOOKUP(D82,'Round 5'!$D:$Q,14,FALSE)="",0,IF(A82&gt;=5,VLOOKUP(D82,'Round 5'!$D:$K,8,FALSE),0)),0))</f>
        <v/>
      </c>
      <c r="T82" s="108" t="str">
        <f t="shared" si="2"/>
        <v/>
      </c>
      <c r="U82" s="137" t="str">
        <f t="shared" si="3"/>
        <v/>
      </c>
    </row>
    <row r="83" spans="1:21" x14ac:dyDescent="0.3">
      <c r="A83" s="82">
        <f>IF(D11="",0,'Tournament Details'!G4)</f>
        <v>0</v>
      </c>
      <c r="B83" s="90">
        <v>73</v>
      </c>
      <c r="C83" s="112" t="str">
        <f>IF('Tournament Details'!C79="","",B83)</f>
        <v/>
      </c>
      <c r="D83" s="105" t="str">
        <f>IF('Tournament Details'!C79="","",VLOOKUP(C83,'Tournament Details'!$B:$C,2,FALSE))</f>
        <v/>
      </c>
      <c r="E83" s="113" t="str">
        <f>IF(D83="","",VLOOKUP(D83,'Tournament Details'!$C:$H,6,FALSE))</f>
        <v/>
      </c>
      <c r="F83" s="113" t="str">
        <f>IF(D83="","",VLOOKUP(D83,'Tournament Details'!$C:$D,2,FALSE))</f>
        <v/>
      </c>
      <c r="G83" s="114" t="str">
        <f>IF(D83="","",VLOOKUP(D83,'Tournament Details'!$C:$E,3,FALSE))</f>
        <v/>
      </c>
      <c r="H83" s="268" t="str">
        <f>IF(D83="","",IF(VLOOKUP(D83,'Tournament Details'!$C:$G,5,FALSE)="","",VLOOKUP(D83,'Tournament Details'!$C:$G,5,FALSE)))</f>
        <v/>
      </c>
      <c r="I83" s="269"/>
      <c r="J83" s="155" t="str">
        <f>IF(D83="","",IF(COUNTIF('Round 1'!$D:$D,B83)=1,IF(VLOOKUP(D83,'Round 1'!$D:$Q,14,FALSE)="",0,IF(A83&gt;=1,VLOOKUP(D83,'Round 1'!$D:$Q,14,FALSE),0)),0))</f>
        <v/>
      </c>
      <c r="K83" s="95" t="str">
        <f>IF(D83="","",IF(COUNTIF('Round 1'!$D:$D,B83)=1,IF(VLOOKUP(D83,'Round 1'!$D:$Q,14,FALSE)="",0,IF(A83&gt;=1,VLOOKUP(D83,'Round 1'!$D:$K,8,FALSE),0)),0))</f>
        <v/>
      </c>
      <c r="L83" s="96" t="str">
        <f>IF(D83="","",IF(COUNTIF('Round 2'!$D:$D,B83)=1,IF(VLOOKUP(D83,'Round 2'!$D:$Q,14,FALSE)="",0,IF(A83&gt;=2,VLOOKUP(D83,'Round 2'!$D:$Q,14,FALSE),0)),0))</f>
        <v/>
      </c>
      <c r="M83" s="97" t="str">
        <f>IF(D83="","",IF(COUNTIF('Round 2'!$D:$D,B83)=1,IF(VLOOKUP(D83,'Round 2'!$D:$Q,14,FALSE)="",0,IF(A83&gt;=2,VLOOKUP(D83,'Round 2'!$D:$K,8,FALSE),0)),0))</f>
        <v/>
      </c>
      <c r="N83" s="98" t="str">
        <f>IF(D83="","",IF(COUNTIF('Round 3'!$D:$D,B83)=1,IF(VLOOKUP(D83,'Round 3'!$D:$Q,14,FALSE)="",0,IF(A83&gt;=3,VLOOKUP(D83,'Round 3'!$D:$Q,14,FALSE),0)),0))</f>
        <v/>
      </c>
      <c r="O83" s="99" t="str">
        <f>IF(D83="","",IF(COUNTIF('Round 3'!$D:$D,B83)=1,IF(VLOOKUP(D83,'Round 3'!$D:$Q,14,FALSE)="",0,IF(A83&gt;=3,VLOOKUP(D83,'Round 3'!$D:$K,8,FALSE),0)),0))</f>
        <v/>
      </c>
      <c r="P83" s="100" t="str">
        <f>IF(D83="","",IF(COUNTIF('Round 4'!$D:$D,B83)=1,IF(VLOOKUP(D83,'Round 4'!$D:$Q,14,FALSE)="",0,IF(A83&gt;=4,VLOOKUP(D83,'Round 4'!$D:$Q,14,FALSE),0)),0))</f>
        <v/>
      </c>
      <c r="Q83" s="101" t="str">
        <f>IF(D83="","",IF(COUNTIF('Round 4'!$D:$D,B83)=1,IF(VLOOKUP(D83,'Round 4'!$D:$Q,14,FALSE)="",0,IF(A83&gt;=4,VLOOKUP(D83,'Round 4'!$D:$K,8,FALSE),0)),0))</f>
        <v/>
      </c>
      <c r="R83" s="102" t="str">
        <f>IF(D83="","",IF(COUNTIF('Round 5'!$D:$D,B83)=1,IF(VLOOKUP(D83,'Round 5'!$D:$Q,14,FALSE)="",0,IF(A83&gt;=5,VLOOKUP(D83,'Round 5'!$D:$Q,14,FALSE),0)),0))</f>
        <v/>
      </c>
      <c r="S83" s="103" t="str">
        <f>IF(D83="","",IF(COUNTIF('Round 5'!$D:$D,B83)=1,IF(VLOOKUP(D83,'Round 5'!$D:$Q,14,FALSE)="",0,IF(A83&gt;=5,VLOOKUP(D83,'Round 5'!$D:$K,8,FALSE),0)),0))</f>
        <v/>
      </c>
      <c r="T83" s="108" t="str">
        <f t="shared" si="2"/>
        <v/>
      </c>
      <c r="U83" s="137" t="str">
        <f t="shared" si="3"/>
        <v/>
      </c>
    </row>
    <row r="84" spans="1:21" x14ac:dyDescent="0.3">
      <c r="A84" s="82">
        <f>IF(D11="",0,'Tournament Details'!G4)</f>
        <v>0</v>
      </c>
      <c r="B84" s="90">
        <v>74</v>
      </c>
      <c r="C84" s="112" t="str">
        <f>IF('Tournament Details'!C80="","",B84)</f>
        <v/>
      </c>
      <c r="D84" s="105" t="str">
        <f>IF('Tournament Details'!C80="","",VLOOKUP(C84,'Tournament Details'!$B:$C,2,FALSE))</f>
        <v/>
      </c>
      <c r="E84" s="113" t="str">
        <f>IF(D84="","",VLOOKUP(D84,'Tournament Details'!$C:$H,6,FALSE))</f>
        <v/>
      </c>
      <c r="F84" s="113" t="str">
        <f>IF(D84="","",VLOOKUP(D84,'Tournament Details'!$C:$D,2,FALSE))</f>
        <v/>
      </c>
      <c r="G84" s="114" t="str">
        <f>IF(D84="","",VLOOKUP(D84,'Tournament Details'!$C:$E,3,FALSE))</f>
        <v/>
      </c>
      <c r="H84" s="268" t="str">
        <f>IF(D84="","",IF(VLOOKUP(D84,'Tournament Details'!$C:$G,5,FALSE)="","",VLOOKUP(D84,'Tournament Details'!$C:$G,5,FALSE)))</f>
        <v/>
      </c>
      <c r="I84" s="269"/>
      <c r="J84" s="155" t="str">
        <f>IF(D84="","",IF(COUNTIF('Round 1'!$D:$D,B84)=1,IF(VLOOKUP(D84,'Round 1'!$D:$Q,14,FALSE)="",0,IF(A84&gt;=1,VLOOKUP(D84,'Round 1'!$D:$Q,14,FALSE),0)),0))</f>
        <v/>
      </c>
      <c r="K84" s="95" t="str">
        <f>IF(D84="","",IF(COUNTIF('Round 1'!$D:$D,B84)=1,IF(VLOOKUP(D84,'Round 1'!$D:$Q,14,FALSE)="",0,IF(A84&gt;=1,VLOOKUP(D84,'Round 1'!$D:$K,8,FALSE),0)),0))</f>
        <v/>
      </c>
      <c r="L84" s="96" t="str">
        <f>IF(D84="","",IF(COUNTIF('Round 2'!$D:$D,B84)=1,IF(VLOOKUP(D84,'Round 2'!$D:$Q,14,FALSE)="",0,IF(A84&gt;=2,VLOOKUP(D84,'Round 2'!$D:$Q,14,FALSE),0)),0))</f>
        <v/>
      </c>
      <c r="M84" s="97" t="str">
        <f>IF(D84="","",IF(COUNTIF('Round 2'!$D:$D,B84)=1,IF(VLOOKUP(D84,'Round 2'!$D:$Q,14,FALSE)="",0,IF(A84&gt;=2,VLOOKUP(D84,'Round 2'!$D:$K,8,FALSE),0)),0))</f>
        <v/>
      </c>
      <c r="N84" s="98" t="str">
        <f>IF(D84="","",IF(COUNTIF('Round 3'!$D:$D,B84)=1,IF(VLOOKUP(D84,'Round 3'!$D:$Q,14,FALSE)="",0,IF(A84&gt;=3,VLOOKUP(D84,'Round 3'!$D:$Q,14,FALSE),0)),0))</f>
        <v/>
      </c>
      <c r="O84" s="99" t="str">
        <f>IF(D84="","",IF(COUNTIF('Round 3'!$D:$D,B84)=1,IF(VLOOKUP(D84,'Round 3'!$D:$Q,14,FALSE)="",0,IF(A84&gt;=3,VLOOKUP(D84,'Round 3'!$D:$K,8,FALSE),0)),0))</f>
        <v/>
      </c>
      <c r="P84" s="100" t="str">
        <f>IF(D84="","",IF(COUNTIF('Round 4'!$D:$D,B84)=1,IF(VLOOKUP(D84,'Round 4'!$D:$Q,14,FALSE)="",0,IF(A84&gt;=4,VLOOKUP(D84,'Round 4'!$D:$Q,14,FALSE),0)),0))</f>
        <v/>
      </c>
      <c r="Q84" s="101" t="str">
        <f>IF(D84="","",IF(COUNTIF('Round 4'!$D:$D,B84)=1,IF(VLOOKUP(D84,'Round 4'!$D:$Q,14,FALSE)="",0,IF(A84&gt;=4,VLOOKUP(D84,'Round 4'!$D:$K,8,FALSE),0)),0))</f>
        <v/>
      </c>
      <c r="R84" s="102" t="str">
        <f>IF(D84="","",IF(COUNTIF('Round 5'!$D:$D,B84)=1,IF(VLOOKUP(D84,'Round 5'!$D:$Q,14,FALSE)="",0,IF(A84&gt;=5,VLOOKUP(D84,'Round 5'!$D:$Q,14,FALSE),0)),0))</f>
        <v/>
      </c>
      <c r="S84" s="103" t="str">
        <f>IF(D84="","",IF(COUNTIF('Round 5'!$D:$D,B84)=1,IF(VLOOKUP(D84,'Round 5'!$D:$Q,14,FALSE)="",0,IF(A84&gt;=5,VLOOKUP(D84,'Round 5'!$D:$K,8,FALSE),0)),0))</f>
        <v/>
      </c>
      <c r="T84" s="108" t="str">
        <f t="shared" si="2"/>
        <v/>
      </c>
      <c r="U84" s="137" t="str">
        <f t="shared" si="3"/>
        <v/>
      </c>
    </row>
    <row r="85" spans="1:21" x14ac:dyDescent="0.3">
      <c r="A85" s="82">
        <f>IF(D11="",0,'Tournament Details'!G4)</f>
        <v>0</v>
      </c>
      <c r="B85" s="90">
        <v>75</v>
      </c>
      <c r="C85" s="112" t="str">
        <f>IF('Tournament Details'!C81="","",B85)</f>
        <v/>
      </c>
      <c r="D85" s="105" t="str">
        <f>IF('Tournament Details'!C81="","",VLOOKUP(C85,'Tournament Details'!$B:$C,2,FALSE))</f>
        <v/>
      </c>
      <c r="E85" s="113" t="str">
        <f>IF(D85="","",VLOOKUP(D85,'Tournament Details'!$C:$H,6,FALSE))</f>
        <v/>
      </c>
      <c r="F85" s="113" t="str">
        <f>IF(D85="","",VLOOKUP(D85,'Tournament Details'!$C:$D,2,FALSE))</f>
        <v/>
      </c>
      <c r="G85" s="114" t="str">
        <f>IF(D85="","",VLOOKUP(D85,'Tournament Details'!$C:$E,3,FALSE))</f>
        <v/>
      </c>
      <c r="H85" s="268" t="str">
        <f>IF(D85="","",IF(VLOOKUP(D85,'Tournament Details'!$C:$G,5,FALSE)="","",VLOOKUP(D85,'Tournament Details'!$C:$G,5,FALSE)))</f>
        <v/>
      </c>
      <c r="I85" s="269"/>
      <c r="J85" s="155" t="str">
        <f>IF(D85="","",IF(COUNTIF('Round 1'!$D:$D,B85)=1,IF(VLOOKUP(D85,'Round 1'!$D:$Q,14,FALSE)="",0,IF(A85&gt;=1,VLOOKUP(D85,'Round 1'!$D:$Q,14,FALSE),0)),0))</f>
        <v/>
      </c>
      <c r="K85" s="95" t="str">
        <f>IF(D85="","",IF(COUNTIF('Round 1'!$D:$D,B85)=1,IF(VLOOKUP(D85,'Round 1'!$D:$Q,14,FALSE)="",0,IF(A85&gt;=1,VLOOKUP(D85,'Round 1'!$D:$K,8,FALSE),0)),0))</f>
        <v/>
      </c>
      <c r="L85" s="96" t="str">
        <f>IF(D85="","",IF(COUNTIF('Round 2'!$D:$D,B85)=1,IF(VLOOKUP(D85,'Round 2'!$D:$Q,14,FALSE)="",0,IF(A85&gt;=2,VLOOKUP(D85,'Round 2'!$D:$Q,14,FALSE),0)),0))</f>
        <v/>
      </c>
      <c r="M85" s="97" t="str">
        <f>IF(D85="","",IF(COUNTIF('Round 2'!$D:$D,B85)=1,IF(VLOOKUP(D85,'Round 2'!$D:$Q,14,FALSE)="",0,IF(A85&gt;=2,VLOOKUP(D85,'Round 2'!$D:$K,8,FALSE),0)),0))</f>
        <v/>
      </c>
      <c r="N85" s="98" t="str">
        <f>IF(D85="","",IF(COUNTIF('Round 3'!$D:$D,B85)=1,IF(VLOOKUP(D85,'Round 3'!$D:$Q,14,FALSE)="",0,IF(A85&gt;=3,VLOOKUP(D85,'Round 3'!$D:$Q,14,FALSE),0)),0))</f>
        <v/>
      </c>
      <c r="O85" s="99" t="str">
        <f>IF(D85="","",IF(COUNTIF('Round 3'!$D:$D,B85)=1,IF(VLOOKUP(D85,'Round 3'!$D:$Q,14,FALSE)="",0,IF(A85&gt;=3,VLOOKUP(D85,'Round 3'!$D:$K,8,FALSE),0)),0))</f>
        <v/>
      </c>
      <c r="P85" s="100" t="str">
        <f>IF(D85="","",IF(COUNTIF('Round 4'!$D:$D,B85)=1,IF(VLOOKUP(D85,'Round 4'!$D:$Q,14,FALSE)="",0,IF(A85&gt;=4,VLOOKUP(D85,'Round 4'!$D:$Q,14,FALSE),0)),0))</f>
        <v/>
      </c>
      <c r="Q85" s="101" t="str">
        <f>IF(D85="","",IF(COUNTIF('Round 4'!$D:$D,B85)=1,IF(VLOOKUP(D85,'Round 4'!$D:$Q,14,FALSE)="",0,IF(A85&gt;=4,VLOOKUP(D85,'Round 4'!$D:$K,8,FALSE),0)),0))</f>
        <v/>
      </c>
      <c r="R85" s="102" t="str">
        <f>IF(D85="","",IF(COUNTIF('Round 5'!$D:$D,B85)=1,IF(VLOOKUP(D85,'Round 5'!$D:$Q,14,FALSE)="",0,IF(A85&gt;=5,VLOOKUP(D85,'Round 5'!$D:$Q,14,FALSE),0)),0))</f>
        <v/>
      </c>
      <c r="S85" s="103" t="str">
        <f>IF(D85="","",IF(COUNTIF('Round 5'!$D:$D,B85)=1,IF(VLOOKUP(D85,'Round 5'!$D:$Q,14,FALSE)="",0,IF(A85&gt;=5,VLOOKUP(D85,'Round 5'!$D:$K,8,FALSE),0)),0))</f>
        <v/>
      </c>
      <c r="T85" s="108" t="str">
        <f t="shared" si="2"/>
        <v/>
      </c>
      <c r="U85" s="137" t="str">
        <f t="shared" si="3"/>
        <v/>
      </c>
    </row>
    <row r="86" spans="1:21" x14ac:dyDescent="0.3">
      <c r="A86" s="82">
        <f>IF(D11="",0,'Tournament Details'!G4)</f>
        <v>0</v>
      </c>
      <c r="B86" s="90">
        <v>76</v>
      </c>
      <c r="C86" s="112" t="str">
        <f>IF('Tournament Details'!C82="","",B86)</f>
        <v/>
      </c>
      <c r="D86" s="105" t="str">
        <f>IF('Tournament Details'!C82="","",VLOOKUP(C86,'Tournament Details'!$B:$C,2,FALSE))</f>
        <v/>
      </c>
      <c r="E86" s="113" t="str">
        <f>IF(D86="","",VLOOKUP(D86,'Tournament Details'!$C:$H,6,FALSE))</f>
        <v/>
      </c>
      <c r="F86" s="113" t="str">
        <f>IF(D86="","",VLOOKUP(D86,'Tournament Details'!$C:$D,2,FALSE))</f>
        <v/>
      </c>
      <c r="G86" s="114" t="str">
        <f>IF(D86="","",VLOOKUP(D86,'Tournament Details'!$C:$E,3,FALSE))</f>
        <v/>
      </c>
      <c r="H86" s="268" t="str">
        <f>IF(D86="","",IF(VLOOKUP(D86,'Tournament Details'!$C:$G,5,FALSE)="","",VLOOKUP(D86,'Tournament Details'!$C:$G,5,FALSE)))</f>
        <v/>
      </c>
      <c r="I86" s="269"/>
      <c r="J86" s="155" t="str">
        <f>IF(D86="","",IF(COUNTIF('Round 1'!$D:$D,B86)=1,IF(VLOOKUP(D86,'Round 1'!$D:$Q,14,FALSE)="",0,IF(A86&gt;=1,VLOOKUP(D86,'Round 1'!$D:$Q,14,FALSE),0)),0))</f>
        <v/>
      </c>
      <c r="K86" s="95" t="str">
        <f>IF(D86="","",IF(COUNTIF('Round 1'!$D:$D,B86)=1,IF(VLOOKUP(D86,'Round 1'!$D:$Q,14,FALSE)="",0,IF(A86&gt;=1,VLOOKUP(D86,'Round 1'!$D:$K,8,FALSE),0)),0))</f>
        <v/>
      </c>
      <c r="L86" s="96" t="str">
        <f>IF(D86="","",IF(COUNTIF('Round 2'!$D:$D,B86)=1,IF(VLOOKUP(D86,'Round 2'!$D:$Q,14,FALSE)="",0,IF(A86&gt;=2,VLOOKUP(D86,'Round 2'!$D:$Q,14,FALSE),0)),0))</f>
        <v/>
      </c>
      <c r="M86" s="97" t="str">
        <f>IF(D86="","",IF(COUNTIF('Round 2'!$D:$D,B86)=1,IF(VLOOKUP(D86,'Round 2'!$D:$Q,14,FALSE)="",0,IF(A86&gt;=2,VLOOKUP(D86,'Round 2'!$D:$K,8,FALSE),0)),0))</f>
        <v/>
      </c>
      <c r="N86" s="98" t="str">
        <f>IF(D86="","",IF(COUNTIF('Round 3'!$D:$D,B86)=1,IF(VLOOKUP(D86,'Round 3'!$D:$Q,14,FALSE)="",0,IF(A86&gt;=3,VLOOKUP(D86,'Round 3'!$D:$Q,14,FALSE),0)),0))</f>
        <v/>
      </c>
      <c r="O86" s="99" t="str">
        <f>IF(D86="","",IF(COUNTIF('Round 3'!$D:$D,B86)=1,IF(VLOOKUP(D86,'Round 3'!$D:$Q,14,FALSE)="",0,IF(A86&gt;=3,VLOOKUP(D86,'Round 3'!$D:$K,8,FALSE),0)),0))</f>
        <v/>
      </c>
      <c r="P86" s="100" t="str">
        <f>IF(D86="","",IF(COUNTIF('Round 4'!$D:$D,B86)=1,IF(VLOOKUP(D86,'Round 4'!$D:$Q,14,FALSE)="",0,IF(A86&gt;=4,VLOOKUP(D86,'Round 4'!$D:$Q,14,FALSE),0)),0))</f>
        <v/>
      </c>
      <c r="Q86" s="101" t="str">
        <f>IF(D86="","",IF(COUNTIF('Round 4'!$D:$D,B86)=1,IF(VLOOKUP(D86,'Round 4'!$D:$Q,14,FALSE)="",0,IF(A86&gt;=4,VLOOKUP(D86,'Round 4'!$D:$K,8,FALSE),0)),0))</f>
        <v/>
      </c>
      <c r="R86" s="102" t="str">
        <f>IF(D86="","",IF(COUNTIF('Round 5'!$D:$D,B86)=1,IF(VLOOKUP(D86,'Round 5'!$D:$Q,14,FALSE)="",0,IF(A86&gt;=5,VLOOKUP(D86,'Round 5'!$D:$Q,14,FALSE),0)),0))</f>
        <v/>
      </c>
      <c r="S86" s="103" t="str">
        <f>IF(D86="","",IF(COUNTIF('Round 5'!$D:$D,B86)=1,IF(VLOOKUP(D86,'Round 5'!$D:$Q,14,FALSE)="",0,IF(A86&gt;=5,VLOOKUP(D86,'Round 5'!$D:$K,8,FALSE),0)),0))</f>
        <v/>
      </c>
      <c r="T86" s="108" t="str">
        <f t="shared" si="2"/>
        <v/>
      </c>
      <c r="U86" s="137" t="str">
        <f t="shared" si="3"/>
        <v/>
      </c>
    </row>
    <row r="87" spans="1:21" x14ac:dyDescent="0.3">
      <c r="A87" s="82">
        <f>IF(D11="",0,'Tournament Details'!G4)</f>
        <v>0</v>
      </c>
      <c r="B87" s="90">
        <v>77</v>
      </c>
      <c r="C87" s="112" t="str">
        <f>IF('Tournament Details'!C83="","",B87)</f>
        <v/>
      </c>
      <c r="D87" s="105" t="str">
        <f>IF('Tournament Details'!C83="","",VLOOKUP(C87,'Tournament Details'!$B:$C,2,FALSE))</f>
        <v/>
      </c>
      <c r="E87" s="113" t="str">
        <f>IF(D87="","",VLOOKUP(D87,'Tournament Details'!$C:$H,6,FALSE))</f>
        <v/>
      </c>
      <c r="F87" s="113" t="str">
        <f>IF(D87="","",VLOOKUP(D87,'Tournament Details'!$C:$D,2,FALSE))</f>
        <v/>
      </c>
      <c r="G87" s="114" t="str">
        <f>IF(D87="","",VLOOKUP(D87,'Tournament Details'!$C:$E,3,FALSE))</f>
        <v/>
      </c>
      <c r="H87" s="268" t="str">
        <f>IF(D87="","",IF(VLOOKUP(D87,'Tournament Details'!$C:$G,5,FALSE)="","",VLOOKUP(D87,'Tournament Details'!$C:$G,5,FALSE)))</f>
        <v/>
      </c>
      <c r="I87" s="269"/>
      <c r="J87" s="155" t="str">
        <f>IF(D87="","",IF(COUNTIF('Round 1'!$D:$D,B87)=1,IF(VLOOKUP(D87,'Round 1'!$D:$Q,14,FALSE)="",0,IF(A87&gt;=1,VLOOKUP(D87,'Round 1'!$D:$Q,14,FALSE),0)),0))</f>
        <v/>
      </c>
      <c r="K87" s="95" t="str">
        <f>IF(D87="","",IF(COUNTIF('Round 1'!$D:$D,B87)=1,IF(VLOOKUP(D87,'Round 1'!$D:$Q,14,FALSE)="",0,IF(A87&gt;=1,VLOOKUP(D87,'Round 1'!$D:$K,8,FALSE),0)),0))</f>
        <v/>
      </c>
      <c r="L87" s="96" t="str">
        <f>IF(D87="","",IF(COUNTIF('Round 2'!$D:$D,B87)=1,IF(VLOOKUP(D87,'Round 2'!$D:$Q,14,FALSE)="",0,IF(A87&gt;=2,VLOOKUP(D87,'Round 2'!$D:$Q,14,FALSE),0)),0))</f>
        <v/>
      </c>
      <c r="M87" s="97" t="str">
        <f>IF(D87="","",IF(COUNTIF('Round 2'!$D:$D,B87)=1,IF(VLOOKUP(D87,'Round 2'!$D:$Q,14,FALSE)="",0,IF(A87&gt;=2,VLOOKUP(D87,'Round 2'!$D:$K,8,FALSE),0)),0))</f>
        <v/>
      </c>
      <c r="N87" s="98" t="str">
        <f>IF(D87="","",IF(COUNTIF('Round 3'!$D:$D,B87)=1,IF(VLOOKUP(D87,'Round 3'!$D:$Q,14,FALSE)="",0,IF(A87&gt;=3,VLOOKUP(D87,'Round 3'!$D:$Q,14,FALSE),0)),0))</f>
        <v/>
      </c>
      <c r="O87" s="99" t="str">
        <f>IF(D87="","",IF(COUNTIF('Round 3'!$D:$D,B87)=1,IF(VLOOKUP(D87,'Round 3'!$D:$Q,14,FALSE)="",0,IF(A87&gt;=3,VLOOKUP(D87,'Round 3'!$D:$K,8,FALSE),0)),0))</f>
        <v/>
      </c>
      <c r="P87" s="100" t="str">
        <f>IF(D87="","",IF(COUNTIF('Round 4'!$D:$D,B87)=1,IF(VLOOKUP(D87,'Round 4'!$D:$Q,14,FALSE)="",0,IF(A87&gt;=4,VLOOKUP(D87,'Round 4'!$D:$Q,14,FALSE),0)),0))</f>
        <v/>
      </c>
      <c r="Q87" s="101" t="str">
        <f>IF(D87="","",IF(COUNTIF('Round 4'!$D:$D,B87)=1,IF(VLOOKUP(D87,'Round 4'!$D:$Q,14,FALSE)="",0,IF(A87&gt;=4,VLOOKUP(D87,'Round 4'!$D:$K,8,FALSE),0)),0))</f>
        <v/>
      </c>
      <c r="R87" s="102" t="str">
        <f>IF(D87="","",IF(COUNTIF('Round 5'!$D:$D,B87)=1,IF(VLOOKUP(D87,'Round 5'!$D:$Q,14,FALSE)="",0,IF(A87&gt;=5,VLOOKUP(D87,'Round 5'!$D:$Q,14,FALSE),0)),0))</f>
        <v/>
      </c>
      <c r="S87" s="103" t="str">
        <f>IF(D87="","",IF(COUNTIF('Round 5'!$D:$D,B87)=1,IF(VLOOKUP(D87,'Round 5'!$D:$Q,14,FALSE)="",0,IF(A87&gt;=5,VLOOKUP(D87,'Round 5'!$D:$K,8,FALSE),0)),0))</f>
        <v/>
      </c>
      <c r="T87" s="108" t="str">
        <f t="shared" si="2"/>
        <v/>
      </c>
      <c r="U87" s="137" t="str">
        <f t="shared" si="3"/>
        <v/>
      </c>
    </row>
    <row r="88" spans="1:21" x14ac:dyDescent="0.3">
      <c r="A88" s="82">
        <f>IF(D11="",0,'Tournament Details'!G4)</f>
        <v>0</v>
      </c>
      <c r="B88" s="90">
        <v>78</v>
      </c>
      <c r="C88" s="112" t="str">
        <f>IF('Tournament Details'!C84="","",B88)</f>
        <v/>
      </c>
      <c r="D88" s="105" t="str">
        <f>IF('Tournament Details'!C84="","",VLOOKUP(C88,'Tournament Details'!$B:$C,2,FALSE))</f>
        <v/>
      </c>
      <c r="E88" s="113" t="str">
        <f>IF(D88="","",VLOOKUP(D88,'Tournament Details'!$C:$H,6,FALSE))</f>
        <v/>
      </c>
      <c r="F88" s="113" t="str">
        <f>IF(D88="","",VLOOKUP(D88,'Tournament Details'!$C:$D,2,FALSE))</f>
        <v/>
      </c>
      <c r="G88" s="114" t="str">
        <f>IF(D88="","",VLOOKUP(D88,'Tournament Details'!$C:$E,3,FALSE))</f>
        <v/>
      </c>
      <c r="H88" s="268" t="str">
        <f>IF(D88="","",IF(VLOOKUP(D88,'Tournament Details'!$C:$G,5,FALSE)="","",VLOOKUP(D88,'Tournament Details'!$C:$G,5,FALSE)))</f>
        <v/>
      </c>
      <c r="I88" s="269"/>
      <c r="J88" s="155" t="str">
        <f>IF(D88="","",IF(COUNTIF('Round 1'!$D:$D,B88)=1,IF(VLOOKUP(D88,'Round 1'!$D:$Q,14,FALSE)="",0,IF(A88&gt;=1,VLOOKUP(D88,'Round 1'!$D:$Q,14,FALSE),0)),0))</f>
        <v/>
      </c>
      <c r="K88" s="95" t="str">
        <f>IF(D88="","",IF(COUNTIF('Round 1'!$D:$D,B88)=1,IF(VLOOKUP(D88,'Round 1'!$D:$Q,14,FALSE)="",0,IF(A88&gt;=1,VLOOKUP(D88,'Round 1'!$D:$K,8,FALSE),0)),0))</f>
        <v/>
      </c>
      <c r="L88" s="96" t="str">
        <f>IF(D88="","",IF(COUNTIF('Round 2'!$D:$D,B88)=1,IF(VLOOKUP(D88,'Round 2'!$D:$Q,14,FALSE)="",0,IF(A88&gt;=2,VLOOKUP(D88,'Round 2'!$D:$Q,14,FALSE),0)),0))</f>
        <v/>
      </c>
      <c r="M88" s="97" t="str">
        <f>IF(D88="","",IF(COUNTIF('Round 2'!$D:$D,B88)=1,IF(VLOOKUP(D88,'Round 2'!$D:$Q,14,FALSE)="",0,IF(A88&gt;=2,VLOOKUP(D88,'Round 2'!$D:$K,8,FALSE),0)),0))</f>
        <v/>
      </c>
      <c r="N88" s="98" t="str">
        <f>IF(D88="","",IF(COUNTIF('Round 3'!$D:$D,B88)=1,IF(VLOOKUP(D88,'Round 3'!$D:$Q,14,FALSE)="",0,IF(A88&gt;=3,VLOOKUP(D88,'Round 3'!$D:$Q,14,FALSE),0)),0))</f>
        <v/>
      </c>
      <c r="O88" s="99" t="str">
        <f>IF(D88="","",IF(COUNTIF('Round 3'!$D:$D,B88)=1,IF(VLOOKUP(D88,'Round 3'!$D:$Q,14,FALSE)="",0,IF(A88&gt;=3,VLOOKUP(D88,'Round 3'!$D:$K,8,FALSE),0)),0))</f>
        <v/>
      </c>
      <c r="P88" s="100" t="str">
        <f>IF(D88="","",IF(COUNTIF('Round 4'!$D:$D,B88)=1,IF(VLOOKUP(D88,'Round 4'!$D:$Q,14,FALSE)="",0,IF(A88&gt;=4,VLOOKUP(D88,'Round 4'!$D:$Q,14,FALSE),0)),0))</f>
        <v/>
      </c>
      <c r="Q88" s="101" t="str">
        <f>IF(D88="","",IF(COUNTIF('Round 4'!$D:$D,B88)=1,IF(VLOOKUP(D88,'Round 4'!$D:$Q,14,FALSE)="",0,IF(A88&gt;=4,VLOOKUP(D88,'Round 4'!$D:$K,8,FALSE),0)),0))</f>
        <v/>
      </c>
      <c r="R88" s="102" t="str">
        <f>IF(D88="","",IF(COUNTIF('Round 5'!$D:$D,B88)=1,IF(VLOOKUP(D88,'Round 5'!$D:$Q,14,FALSE)="",0,IF(A88&gt;=5,VLOOKUP(D88,'Round 5'!$D:$Q,14,FALSE),0)),0))</f>
        <v/>
      </c>
      <c r="S88" s="103" t="str">
        <f>IF(D88="","",IF(COUNTIF('Round 5'!$D:$D,B88)=1,IF(VLOOKUP(D88,'Round 5'!$D:$Q,14,FALSE)="",0,IF(A88&gt;=5,VLOOKUP(D88,'Round 5'!$D:$K,8,FALSE),0)),0))</f>
        <v/>
      </c>
      <c r="T88" s="108" t="str">
        <f t="shared" si="2"/>
        <v/>
      </c>
      <c r="U88" s="137" t="str">
        <f t="shared" si="3"/>
        <v/>
      </c>
    </row>
    <row r="89" spans="1:21" x14ac:dyDescent="0.3">
      <c r="A89" s="82">
        <f>IF(D11="",0,'Tournament Details'!G4)</f>
        <v>0</v>
      </c>
      <c r="B89" s="90">
        <v>79</v>
      </c>
      <c r="C89" s="112" t="str">
        <f>IF('Tournament Details'!C85="","",B89)</f>
        <v/>
      </c>
      <c r="D89" s="105" t="str">
        <f>IF('Tournament Details'!C85="","",VLOOKUP(C89,'Tournament Details'!$B:$C,2,FALSE))</f>
        <v/>
      </c>
      <c r="E89" s="113" t="str">
        <f>IF(D89="","",VLOOKUP(D89,'Tournament Details'!$C:$H,6,FALSE))</f>
        <v/>
      </c>
      <c r="F89" s="113" t="str">
        <f>IF(D89="","",VLOOKUP(D89,'Tournament Details'!$C:$D,2,FALSE))</f>
        <v/>
      </c>
      <c r="G89" s="114" t="str">
        <f>IF(D89="","",VLOOKUP(D89,'Tournament Details'!$C:$E,3,FALSE))</f>
        <v/>
      </c>
      <c r="H89" s="268" t="str">
        <f>IF(D89="","",IF(VLOOKUP(D89,'Tournament Details'!$C:$G,5,FALSE)="","",VLOOKUP(D89,'Tournament Details'!$C:$G,5,FALSE)))</f>
        <v/>
      </c>
      <c r="I89" s="269"/>
      <c r="J89" s="155" t="str">
        <f>IF(D89="","",IF(COUNTIF('Round 1'!$D:$D,B89)=1,IF(VLOOKUP(D89,'Round 1'!$D:$Q,14,FALSE)="",0,IF(A89&gt;=1,VLOOKUP(D89,'Round 1'!$D:$Q,14,FALSE),0)),0))</f>
        <v/>
      </c>
      <c r="K89" s="95" t="str">
        <f>IF(D89="","",IF(COUNTIF('Round 1'!$D:$D,B89)=1,IF(VLOOKUP(D89,'Round 1'!$D:$Q,14,FALSE)="",0,IF(A89&gt;=1,VLOOKUP(D89,'Round 1'!$D:$K,8,FALSE),0)),0))</f>
        <v/>
      </c>
      <c r="L89" s="96" t="str">
        <f>IF(D89="","",IF(COUNTIF('Round 2'!$D:$D,B89)=1,IF(VLOOKUP(D89,'Round 2'!$D:$Q,14,FALSE)="",0,IF(A89&gt;=2,VLOOKUP(D89,'Round 2'!$D:$Q,14,FALSE),0)),0))</f>
        <v/>
      </c>
      <c r="M89" s="97" t="str">
        <f>IF(D89="","",IF(COUNTIF('Round 2'!$D:$D,B89)=1,IF(VLOOKUP(D89,'Round 2'!$D:$Q,14,FALSE)="",0,IF(A89&gt;=2,VLOOKUP(D89,'Round 2'!$D:$K,8,FALSE),0)),0))</f>
        <v/>
      </c>
      <c r="N89" s="98" t="str">
        <f>IF(D89="","",IF(COUNTIF('Round 3'!$D:$D,B89)=1,IF(VLOOKUP(D89,'Round 3'!$D:$Q,14,FALSE)="",0,IF(A89&gt;=3,VLOOKUP(D89,'Round 3'!$D:$Q,14,FALSE),0)),0))</f>
        <v/>
      </c>
      <c r="O89" s="99" t="str">
        <f>IF(D89="","",IF(COUNTIF('Round 3'!$D:$D,B89)=1,IF(VLOOKUP(D89,'Round 3'!$D:$Q,14,FALSE)="",0,IF(A89&gt;=3,VLOOKUP(D89,'Round 3'!$D:$K,8,FALSE),0)),0))</f>
        <v/>
      </c>
      <c r="P89" s="100" t="str">
        <f>IF(D89="","",IF(COUNTIF('Round 4'!$D:$D,B89)=1,IF(VLOOKUP(D89,'Round 4'!$D:$Q,14,FALSE)="",0,IF(A89&gt;=4,VLOOKUP(D89,'Round 4'!$D:$Q,14,FALSE),0)),0))</f>
        <v/>
      </c>
      <c r="Q89" s="101" t="str">
        <f>IF(D89="","",IF(COUNTIF('Round 4'!$D:$D,B89)=1,IF(VLOOKUP(D89,'Round 4'!$D:$Q,14,FALSE)="",0,IF(A89&gt;=4,VLOOKUP(D89,'Round 4'!$D:$K,8,FALSE),0)),0))</f>
        <v/>
      </c>
      <c r="R89" s="102" t="str">
        <f>IF(D89="","",IF(COUNTIF('Round 5'!$D:$D,B89)=1,IF(VLOOKUP(D89,'Round 5'!$D:$Q,14,FALSE)="",0,IF(A89&gt;=5,VLOOKUP(D89,'Round 5'!$D:$Q,14,FALSE),0)),0))</f>
        <v/>
      </c>
      <c r="S89" s="103" t="str">
        <f>IF(D89="","",IF(COUNTIF('Round 5'!$D:$D,B89)=1,IF(VLOOKUP(D89,'Round 5'!$D:$Q,14,FALSE)="",0,IF(A89&gt;=5,VLOOKUP(D89,'Round 5'!$D:$K,8,FALSE),0)),0))</f>
        <v/>
      </c>
      <c r="T89" s="108" t="str">
        <f t="shared" si="2"/>
        <v/>
      </c>
      <c r="U89" s="137" t="str">
        <f t="shared" si="3"/>
        <v/>
      </c>
    </row>
    <row r="90" spans="1:21" ht="15" thickBot="1" x14ac:dyDescent="0.35">
      <c r="A90" s="82">
        <f>IF(D11="",0,'Tournament Details'!G4)</f>
        <v>0</v>
      </c>
      <c r="B90" s="90">
        <v>80</v>
      </c>
      <c r="C90" s="115" t="str">
        <f>IF('Tournament Details'!C86="","",B90)</f>
        <v/>
      </c>
      <c r="D90" s="116" t="str">
        <f>IF('Tournament Details'!C86="","",VLOOKUP(C90,'Tournament Details'!$B:$C,2,FALSE))</f>
        <v/>
      </c>
      <c r="E90" s="117" t="str">
        <f>IF(D90="","",VLOOKUP(D90,'Tournament Details'!$C:$H,6,FALSE))</f>
        <v/>
      </c>
      <c r="F90" s="117" t="str">
        <f>IF(D90="","",VLOOKUP(D90,'Tournament Details'!$C:$D,2,FALSE))</f>
        <v/>
      </c>
      <c r="G90" s="118" t="str">
        <f>IF(D90="","",VLOOKUP(D90,'Tournament Details'!$C:$E,3,FALSE))</f>
        <v/>
      </c>
      <c r="H90" s="289" t="str">
        <f>IF(D90="","",IF(VLOOKUP(D90,'Tournament Details'!$C:$G,5,FALSE)="","",VLOOKUP(D90,'Tournament Details'!$C:$G,5,FALSE)))</f>
        <v/>
      </c>
      <c r="I90" s="290"/>
      <c r="J90" s="156" t="str">
        <f>IF(D90="","",IF(COUNTIF('Round 1'!$D:$D,B90)=1,IF(VLOOKUP(D90,'Round 1'!$D:$Q,14,FALSE)="",0,IF(A90&gt;=1,VLOOKUP(D90,'Round 1'!$D:$Q,14,FALSE),0)),0))</f>
        <v/>
      </c>
      <c r="K90" s="157" t="str">
        <f>IF(D90="","",IF(COUNTIF('Round 1'!$D:$D,B90)=1,IF(VLOOKUP(D90,'Round 1'!$D:$Q,14,FALSE)="",0,IF(A90&gt;=1,VLOOKUP(D90,'Round 1'!$D:$K,8,FALSE),0)),0))</f>
        <v/>
      </c>
      <c r="L90" s="158" t="str">
        <f>IF(D90="","",IF(COUNTIF('Round 2'!$D:$D,B90)=1,IF(VLOOKUP(D90,'Round 2'!$D:$Q,14,FALSE)="",0,IF(A90&gt;=2,VLOOKUP(D90,'Round 2'!$D:$Q,14,FALSE),0)),0))</f>
        <v/>
      </c>
      <c r="M90" s="159" t="str">
        <f>IF(D90="","",IF(COUNTIF('Round 2'!$D:$D,B90)=1,IF(VLOOKUP(D90,'Round 2'!$D:$Q,14,FALSE)="",0,IF(A90&gt;=2,VLOOKUP(D90,'Round 2'!$D:$K,8,FALSE),0)),0))</f>
        <v/>
      </c>
      <c r="N90" s="160" t="str">
        <f>IF(D90="","",IF(COUNTIF('Round 3'!$D:$D,B90)=1,IF(VLOOKUP(D90,'Round 3'!$D:$Q,14,FALSE)="",0,IF(A90&gt;=3,VLOOKUP(D90,'Round 3'!$D:$Q,14,FALSE),0)),0))</f>
        <v/>
      </c>
      <c r="O90" s="161" t="str">
        <f>IF(D90="","",IF(COUNTIF('Round 3'!$D:$D,B90)=1,IF(VLOOKUP(D90,'Round 3'!$D:$Q,14,FALSE)="",0,IF(A90&gt;=3,VLOOKUP(D90,'Round 3'!$D:$K,8,FALSE),0)),0))</f>
        <v/>
      </c>
      <c r="P90" s="162" t="str">
        <f>IF(D90="","",IF(COUNTIF('Round 4'!$D:$D,B90)=1,IF(VLOOKUP(D90,'Round 4'!$D:$Q,14,FALSE)="",0,IF(A90&gt;=4,VLOOKUP(D90,'Round 4'!$D:$Q,14,FALSE),0)),0))</f>
        <v/>
      </c>
      <c r="Q90" s="163" t="str">
        <f>IF(D90="","",IF(COUNTIF('Round 4'!$D:$D,B90)=1,IF(VLOOKUP(D90,'Round 4'!$D:$Q,14,FALSE)="",0,IF(A90&gt;=4,VLOOKUP(D90,'Round 4'!$D:$K,8,FALSE),0)),0))</f>
        <v/>
      </c>
      <c r="R90" s="164" t="str">
        <f>IF(D90="","",IF(COUNTIF('Round 5'!$D:$D,B90)=1,IF(VLOOKUP(D90,'Round 5'!$D:$Q,14,FALSE)="",0,IF(A90&gt;=5,VLOOKUP(D90,'Round 5'!$D:$Q,14,FALSE),0)),0))</f>
        <v/>
      </c>
      <c r="S90" s="165" t="str">
        <f>IF(D90="","",IF(COUNTIF('Round 5'!$D:$D,B90)=1,IF(VLOOKUP(D90,'Round 5'!$D:$Q,14,FALSE)="",0,IF(A90&gt;=5,VLOOKUP(D90,'Round 5'!$D:$K,8,FALSE),0)),0))</f>
        <v/>
      </c>
      <c r="T90" s="119" t="str">
        <f t="shared" si="2"/>
        <v/>
      </c>
      <c r="U90" s="120" t="str">
        <f t="shared" si="3"/>
        <v/>
      </c>
    </row>
  </sheetData>
  <sheetProtection algorithmName="SHA-512" hashValue="dRQvGI20tlEvENM9sHhsK1DAv4H1RSlTfAOE9K9tPOxxJ+P+j1SQuLcBVFwZhyfJIcWAD0h+xUgZS1AN4CSsUQ==" saltValue="meb/+w2CeDjjoteCjephzQ==" spinCount="100000" sheet="1" objects="1" scenarios="1" selectLockedCells="1"/>
  <mergeCells count="114">
    <mergeCell ref="K4:N4"/>
    <mergeCell ref="K5:N5"/>
    <mergeCell ref="K6:N6"/>
    <mergeCell ref="K7:N7"/>
    <mergeCell ref="S7:U7"/>
    <mergeCell ref="P5:Q5"/>
    <mergeCell ref="P6:Q6"/>
    <mergeCell ref="P7:Q7"/>
    <mergeCell ref="R3:U3"/>
    <mergeCell ref="R4:U4"/>
    <mergeCell ref="R5:U5"/>
    <mergeCell ref="R6:U6"/>
    <mergeCell ref="P2:U2"/>
    <mergeCell ref="P3:Q3"/>
    <mergeCell ref="P4:Q4"/>
    <mergeCell ref="I2:N2"/>
    <mergeCell ref="K3:N3"/>
    <mergeCell ref="H89:I89"/>
    <mergeCell ref="H90:I90"/>
    <mergeCell ref="I3:J3"/>
    <mergeCell ref="I4:J4"/>
    <mergeCell ref="I5:J5"/>
    <mergeCell ref="I6:J6"/>
    <mergeCell ref="I7:J7"/>
    <mergeCell ref="H83:I83"/>
    <mergeCell ref="H84:I84"/>
    <mergeCell ref="H85:I85"/>
    <mergeCell ref="H86:I86"/>
    <mergeCell ref="H87:I87"/>
    <mergeCell ref="H88:I88"/>
    <mergeCell ref="H77:I77"/>
    <mergeCell ref="H78:I78"/>
    <mergeCell ref="H79:I79"/>
    <mergeCell ref="H80:I80"/>
    <mergeCell ref="H81:I81"/>
    <mergeCell ref="H82:I82"/>
    <mergeCell ref="H71:I71"/>
    <mergeCell ref="H72:I72"/>
    <mergeCell ref="H73:I73"/>
    <mergeCell ref="H74:I74"/>
    <mergeCell ref="H75:I75"/>
    <mergeCell ref="H76:I76"/>
    <mergeCell ref="H65:I65"/>
    <mergeCell ref="H66:I66"/>
    <mergeCell ref="H67:I67"/>
    <mergeCell ref="H68:I68"/>
    <mergeCell ref="H69:I69"/>
    <mergeCell ref="H70:I70"/>
    <mergeCell ref="H59:I59"/>
    <mergeCell ref="H60:I60"/>
    <mergeCell ref="H61:I61"/>
    <mergeCell ref="H62:I62"/>
    <mergeCell ref="H63:I63"/>
    <mergeCell ref="H64:I64"/>
    <mergeCell ref="H53:I53"/>
    <mergeCell ref="H54:I54"/>
    <mergeCell ref="H55:I55"/>
    <mergeCell ref="H56:I56"/>
    <mergeCell ref="H57:I57"/>
    <mergeCell ref="H58:I58"/>
    <mergeCell ref="H47:I47"/>
    <mergeCell ref="H48:I48"/>
    <mergeCell ref="H49:I49"/>
    <mergeCell ref="H50:I50"/>
    <mergeCell ref="H51:I51"/>
    <mergeCell ref="H52:I52"/>
    <mergeCell ref="H41:I41"/>
    <mergeCell ref="H42:I42"/>
    <mergeCell ref="H43:I43"/>
    <mergeCell ref="H44:I44"/>
    <mergeCell ref="H45:I45"/>
    <mergeCell ref="H46:I46"/>
    <mergeCell ref="H35:I35"/>
    <mergeCell ref="H36:I36"/>
    <mergeCell ref="H37:I37"/>
    <mergeCell ref="H38:I38"/>
    <mergeCell ref="H39:I39"/>
    <mergeCell ref="H40:I40"/>
    <mergeCell ref="H29:I29"/>
    <mergeCell ref="H30:I30"/>
    <mergeCell ref="H31:I31"/>
    <mergeCell ref="H32:I32"/>
    <mergeCell ref="H33:I33"/>
    <mergeCell ref="H34:I34"/>
    <mergeCell ref="H23:I23"/>
    <mergeCell ref="H24:I24"/>
    <mergeCell ref="H25:I25"/>
    <mergeCell ref="H26:I26"/>
    <mergeCell ref="H27:I27"/>
    <mergeCell ref="H28:I28"/>
    <mergeCell ref="H17:I17"/>
    <mergeCell ref="H18:I18"/>
    <mergeCell ref="H19:I19"/>
    <mergeCell ref="H20:I20"/>
    <mergeCell ref="H21:I21"/>
    <mergeCell ref="H22:I22"/>
    <mergeCell ref="H11:I11"/>
    <mergeCell ref="H12:I12"/>
    <mergeCell ref="H13:I13"/>
    <mergeCell ref="H14:I14"/>
    <mergeCell ref="H15:I15"/>
    <mergeCell ref="H16:I16"/>
    <mergeCell ref="L9:M9"/>
    <mergeCell ref="N9:O9"/>
    <mergeCell ref="P9:Q9"/>
    <mergeCell ref="R9:S9"/>
    <mergeCell ref="T9:U9"/>
    <mergeCell ref="H9:I10"/>
    <mergeCell ref="C9:C10"/>
    <mergeCell ref="D9:D10"/>
    <mergeCell ref="F9:F10"/>
    <mergeCell ref="G9:G10"/>
    <mergeCell ref="J9:K9"/>
    <mergeCell ref="E9:E10"/>
  </mergeCells>
  <conditionalFormatting sqref="E11:F11">
    <cfRule type="cellIs" dxfId="7" priority="8" operator="equal">
      <formula>0</formula>
    </cfRule>
  </conditionalFormatting>
  <conditionalFormatting sqref="E12:F12">
    <cfRule type="cellIs" dxfId="6" priority="7" operator="equal">
      <formula>0</formula>
    </cfRule>
  </conditionalFormatting>
  <conditionalFormatting sqref="E13:F13">
    <cfRule type="cellIs" dxfId="5" priority="6" operator="equal">
      <formula>0</formula>
    </cfRule>
  </conditionalFormatting>
  <conditionalFormatting sqref="E14:F90">
    <cfRule type="cellIs" dxfId="4" priority="5" operator="equal">
      <formula>0</formula>
    </cfRule>
  </conditionalFormatting>
  <dataValidations count="1">
    <dataValidation type="list" allowBlank="1" showInputMessage="1" showErrorMessage="1" sqref="R4:U4" xr:uid="{00000000-0002-0000-0700-000000000000}">
      <formula1>PlayerIndex</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 id="{CC895EF1-FD20-4461-9224-DED1389FF221}">
            <xm:f>'Tournament Details'!$G$4:$H$4&lt;2</xm:f>
            <x14:dxf>
              <font>
                <color rgb="FFFCE2D4"/>
              </font>
            </x14:dxf>
          </x14:cfRule>
          <xm:sqref>L11:M90</xm:sqref>
        </x14:conditionalFormatting>
        <x14:conditionalFormatting xmlns:xm="http://schemas.microsoft.com/office/excel/2006/main">
          <x14:cfRule type="expression" priority="3" id="{482DFFCB-B56A-40C4-9BDE-9C23F8B743D7}">
            <xm:f>'Tournament Details'!$G$4:$H$4&lt;3</xm:f>
            <x14:dxf>
              <font>
                <color theme="9" tint="0.79998168889431442"/>
              </font>
            </x14:dxf>
          </x14:cfRule>
          <xm:sqref>N11:O90</xm:sqref>
        </x14:conditionalFormatting>
        <x14:conditionalFormatting xmlns:xm="http://schemas.microsoft.com/office/excel/2006/main">
          <x14:cfRule type="expression" priority="2" id="{C08CD7ED-CAAE-46CF-9685-D43D537E36B3}">
            <xm:f>'Tournament Details'!$G$4:$H$4&lt;4</xm:f>
            <x14:dxf>
              <font>
                <color theme="7" tint="0.79998168889431442"/>
              </font>
            </x14:dxf>
          </x14:cfRule>
          <xm:sqref>P11:Q90</xm:sqref>
        </x14:conditionalFormatting>
        <x14:conditionalFormatting xmlns:xm="http://schemas.microsoft.com/office/excel/2006/main">
          <x14:cfRule type="expression" priority="1" id="{19C459B5-DEBA-4BBB-8BC7-B36B81BB4B3D}">
            <xm:f>'Tournament Details'!$G$4:$H$4&lt;5</xm:f>
            <x14:dxf>
              <font>
                <color rgb="FFDAC2EC"/>
              </font>
            </x14:dxf>
          </x14:cfRule>
          <xm:sqref>R11:S90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8"/>
  <sheetViews>
    <sheetView workbookViewId="0">
      <selection activeCell="B8" sqref="B8"/>
    </sheetView>
  </sheetViews>
  <sheetFormatPr defaultRowHeight="14.4" x14ac:dyDescent="0.3"/>
  <cols>
    <col min="1" max="1" width="1.44140625" customWidth="1"/>
    <col min="2" max="2" width="26.77734375" customWidth="1"/>
    <col min="3" max="3" width="1.21875" customWidth="1"/>
    <col min="4" max="4" width="26.77734375" customWidth="1"/>
    <col min="5" max="5" width="1.21875" customWidth="1"/>
    <col min="6" max="6" width="26.77734375" customWidth="1"/>
  </cols>
  <sheetData>
    <row r="1" spans="2:6" ht="9.6" customHeight="1" thickBot="1" x14ac:dyDescent="0.35"/>
    <row r="2" spans="2:6" ht="15" thickBot="1" x14ac:dyDescent="0.35">
      <c r="B2" s="17" t="s">
        <v>11</v>
      </c>
      <c r="D2" s="17" t="s">
        <v>35</v>
      </c>
      <c r="F2" s="17" t="s">
        <v>36</v>
      </c>
    </row>
    <row r="3" spans="2:6" x14ac:dyDescent="0.3">
      <c r="B3" s="18"/>
      <c r="D3" s="18">
        <v>1</v>
      </c>
      <c r="F3" s="18" t="s">
        <v>48</v>
      </c>
    </row>
    <row r="4" spans="2:6" x14ac:dyDescent="0.3">
      <c r="B4" s="19" t="s">
        <v>12</v>
      </c>
      <c r="D4" s="19">
        <v>2</v>
      </c>
      <c r="F4" s="19">
        <v>1</v>
      </c>
    </row>
    <row r="5" spans="2:6" x14ac:dyDescent="0.3">
      <c r="B5" s="19" t="s">
        <v>13</v>
      </c>
      <c r="D5" s="19">
        <v>3</v>
      </c>
      <c r="F5" s="55">
        <v>2</v>
      </c>
    </row>
    <row r="6" spans="2:6" ht="15" thickBot="1" x14ac:dyDescent="0.35">
      <c r="B6" s="19" t="s">
        <v>14</v>
      </c>
      <c r="D6" s="19">
        <v>4</v>
      </c>
      <c r="F6" s="20">
        <v>3</v>
      </c>
    </row>
    <row r="7" spans="2:6" ht="15" thickBot="1" x14ac:dyDescent="0.35">
      <c r="B7" s="19" t="s">
        <v>15</v>
      </c>
      <c r="D7" s="20">
        <v>5</v>
      </c>
    </row>
    <row r="8" spans="2:6" ht="15" thickBot="1" x14ac:dyDescent="0.35">
      <c r="B8"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Tournament Details</vt:lpstr>
      <vt:lpstr>Round 1</vt:lpstr>
      <vt:lpstr>Round 2</vt:lpstr>
      <vt:lpstr>Round 3</vt:lpstr>
      <vt:lpstr>Round 4</vt:lpstr>
      <vt:lpstr>Round 5</vt:lpstr>
      <vt:lpstr>Sporting Votes</vt:lpstr>
      <vt:lpstr>Final Results</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Driver</dc:creator>
  <cp:lastModifiedBy>Darren Driver</cp:lastModifiedBy>
  <dcterms:created xsi:type="dcterms:W3CDTF">2017-07-20T13:40:31Z</dcterms:created>
  <dcterms:modified xsi:type="dcterms:W3CDTF">2017-09-20T12:00:00Z</dcterms:modified>
</cp:coreProperties>
</file>