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ẠCH ĐỊNH TÀI CHÍNH\"/>
    </mc:Choice>
  </mc:AlternateContent>
  <bookViews>
    <workbookView xWindow="-120" yWindow="-120" windowWidth="20730" windowHeight="11160" activeTab="2"/>
  </bookViews>
  <sheets>
    <sheet name="Tổng quan" sheetId="7" r:id="rId1"/>
    <sheet name="Kiểm chứng tổng hưu trí" sheetId="9" r:id="rId2"/>
    <sheet name="Kiểm chứng rút hưu trí" sheetId="5" r:id="rId3"/>
    <sheet name="Lương hưu đóng bảo hiểm xã hội" sheetId="4" r:id="rId4"/>
    <sheet name="Kiểm chứng tiết kiệm hưu trí" sheetId="1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9" i="5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D19" i="5"/>
  <c r="C19" i="5"/>
  <c r="C20" i="5"/>
  <c r="B33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E35" i="9"/>
  <c r="C6" i="7"/>
  <c r="C5" i="7"/>
  <c r="D20" i="5" l="1"/>
  <c r="F20" i="5" s="1"/>
  <c r="C21" i="5" s="1"/>
  <c r="F45" i="4"/>
  <c r="D21" i="5" l="1"/>
  <c r="F21" i="5" s="1"/>
  <c r="C22" i="5" s="1"/>
  <c r="F38" i="4"/>
  <c r="F39" i="4"/>
  <c r="F40" i="4"/>
  <c r="F41" i="4"/>
  <c r="F42" i="4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D22" i="5" l="1"/>
  <c r="F22" i="5" s="1"/>
  <c r="C23" i="5" s="1"/>
  <c r="E11" i="4"/>
  <c r="E10" i="4" s="1"/>
  <c r="E9" i="4" s="1"/>
  <c r="D23" i="5" l="1"/>
  <c r="F23" i="5" s="1"/>
  <c r="C24" i="5" s="1"/>
  <c r="E8" i="4"/>
  <c r="F9" i="4"/>
  <c r="F11" i="4"/>
  <c r="F10" i="4"/>
  <c r="D24" i="5" l="1"/>
  <c r="F24" i="5" s="1"/>
  <c r="C25" i="5" s="1"/>
  <c r="E7" i="4"/>
  <c r="F8" i="4"/>
  <c r="F12" i="4"/>
  <c r="D25" i="5" l="1"/>
  <c r="F25" i="5" s="1"/>
  <c r="C26" i="5" s="1"/>
  <c r="F7" i="4"/>
  <c r="E6" i="4"/>
  <c r="F13" i="4"/>
  <c r="D26" i="5" l="1"/>
  <c r="F26" i="5" s="1"/>
  <c r="C27" i="5" s="1"/>
  <c r="E5" i="4"/>
  <c r="F5" i="4" s="1"/>
  <c r="F6" i="4"/>
  <c r="F14" i="4"/>
  <c r="D27" i="5" l="1"/>
  <c r="F27" i="5" s="1"/>
  <c r="C28" i="5" s="1"/>
  <c r="F15" i="4"/>
  <c r="D28" i="5" l="1"/>
  <c r="F28" i="5" s="1"/>
  <c r="C29" i="5" s="1"/>
  <c r="F16" i="4"/>
  <c r="D29" i="5" l="1"/>
  <c r="F29" i="5" s="1"/>
  <c r="C30" i="5" s="1"/>
  <c r="F17" i="4"/>
  <c r="D30" i="5" l="1"/>
  <c r="F30" i="5"/>
  <c r="C31" i="5" s="1"/>
  <c r="F18" i="4"/>
  <c r="D31" i="5" l="1"/>
  <c r="F31" i="5" s="1"/>
  <c r="C32" i="5" s="1"/>
  <c r="F19" i="4"/>
  <c r="D32" i="5" l="1"/>
  <c r="F32" i="5" s="1"/>
  <c r="C33" i="5" s="1"/>
  <c r="F20" i="4"/>
  <c r="D33" i="5" l="1"/>
  <c r="F33" i="5" s="1"/>
  <c r="F21" i="4"/>
  <c r="F22" i="4" l="1"/>
  <c r="F23" i="4" l="1"/>
  <c r="F24" i="4" l="1"/>
  <c r="F25" i="4" l="1"/>
  <c r="F26" i="4" l="1"/>
  <c r="F27" i="4" l="1"/>
  <c r="F28" i="4" l="1"/>
  <c r="F29" i="4" l="1"/>
  <c r="F30" i="4" l="1"/>
  <c r="F31" i="4" l="1"/>
  <c r="F32" i="4" l="1"/>
  <c r="F33" i="4" l="1"/>
  <c r="F34" i="4" l="1"/>
  <c r="F35" i="4" l="1"/>
  <c r="F36" i="4" l="1"/>
  <c r="F37" i="4" l="1"/>
  <c r="E4" i="10" l="1"/>
  <c r="C5" i="9" l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B15" i="5" l="1"/>
  <c r="B4" i="5"/>
  <c r="B14" i="5"/>
  <c r="B18" i="5"/>
  <c r="B12" i="5"/>
  <c r="B7" i="5"/>
  <c r="B10" i="5"/>
  <c r="B8" i="5"/>
  <c r="B16" i="5"/>
  <c r="B11" i="5"/>
  <c r="B6" i="5"/>
  <c r="B17" i="5"/>
  <c r="B13" i="5"/>
  <c r="B9" i="5"/>
  <c r="B5" i="5"/>
  <c r="C10" i="7" l="1"/>
  <c r="E5" i="10" l="1"/>
  <c r="C15" i="7"/>
  <c r="C16" i="7" s="1"/>
  <c r="C4" i="5" s="1"/>
  <c r="D4" i="5" s="1"/>
  <c r="C13" i="7"/>
  <c r="D5" i="9" l="1"/>
  <c r="C18" i="7"/>
  <c r="D6" i="9" l="1"/>
  <c r="E5" i="9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D7" i="9" l="1"/>
  <c r="E6" i="9"/>
  <c r="F4" i="5"/>
  <c r="C5" i="5" s="1"/>
  <c r="D5" i="5" s="1"/>
  <c r="F5" i="5" l="1"/>
  <c r="C6" i="5" s="1"/>
  <c r="D6" i="5" s="1"/>
  <c r="D8" i="9"/>
  <c r="E7" i="9"/>
  <c r="F6" i="5" l="1"/>
  <c r="C7" i="5" s="1"/>
  <c r="D7" i="5" s="1"/>
  <c r="D9" i="9"/>
  <c r="E8" i="9"/>
  <c r="F7" i="5" l="1"/>
  <c r="C8" i="5" s="1"/>
  <c r="D8" i="5" s="1"/>
  <c r="D10" i="9"/>
  <c r="E9" i="9"/>
  <c r="F8" i="5" l="1"/>
  <c r="C9" i="5" s="1"/>
  <c r="D9" i="5" s="1"/>
  <c r="D11" i="9"/>
  <c r="E10" i="9"/>
  <c r="F9" i="5" l="1"/>
  <c r="C10" i="5" s="1"/>
  <c r="D10" i="5" s="1"/>
  <c r="D12" i="9"/>
  <c r="E11" i="9"/>
  <c r="F10" i="5" l="1"/>
  <c r="C11" i="5" s="1"/>
  <c r="D11" i="5" s="1"/>
  <c r="D13" i="9"/>
  <c r="E12" i="9"/>
  <c r="F11" i="5" l="1"/>
  <c r="C12" i="5" s="1"/>
  <c r="D12" i="5" s="1"/>
  <c r="D14" i="9"/>
  <c r="E13" i="9"/>
  <c r="F12" i="5" l="1"/>
  <c r="C13" i="5" s="1"/>
  <c r="D13" i="5" s="1"/>
  <c r="D15" i="9"/>
  <c r="E14" i="9"/>
  <c r="F13" i="5" l="1"/>
  <c r="C14" i="5" s="1"/>
  <c r="D14" i="5" s="1"/>
  <c r="D16" i="9"/>
  <c r="E15" i="9"/>
  <c r="F14" i="5" l="1"/>
  <c r="C15" i="5" s="1"/>
  <c r="D15" i="5" s="1"/>
  <c r="D17" i="9"/>
  <c r="E16" i="9"/>
  <c r="F15" i="5" l="1"/>
  <c r="C16" i="5" s="1"/>
  <c r="D16" i="5" s="1"/>
  <c r="D18" i="9"/>
  <c r="E17" i="9"/>
  <c r="F16" i="5" l="1"/>
  <c r="C17" i="5" s="1"/>
  <c r="D17" i="5" s="1"/>
  <c r="D19" i="9"/>
  <c r="D20" i="9" s="1"/>
  <c r="E18" i="9"/>
  <c r="D21" i="9" l="1"/>
  <c r="E20" i="9"/>
  <c r="F17" i="5"/>
  <c r="C18" i="5" s="1"/>
  <c r="E19" i="9"/>
  <c r="D22" i="9" l="1"/>
  <c r="E21" i="9"/>
  <c r="D18" i="5"/>
  <c r="F18" i="5" s="1"/>
  <c r="F43" i="4"/>
  <c r="F44" i="4" s="1"/>
  <c r="D23" i="9" l="1"/>
  <c r="E22" i="9"/>
  <c r="D24" i="9" l="1"/>
  <c r="E23" i="9"/>
  <c r="F46" i="4"/>
  <c r="F47" i="4" s="1"/>
  <c r="D25" i="9" l="1"/>
  <c r="E24" i="9"/>
  <c r="C20" i="7"/>
  <c r="C21" i="7" s="1"/>
  <c r="E3" i="10" s="1"/>
  <c r="C7" i="10" s="1"/>
  <c r="D26" i="9" l="1"/>
  <c r="E25" i="9"/>
  <c r="D7" i="10"/>
  <c r="E7" i="10" s="1"/>
  <c r="C8" i="10" s="1"/>
  <c r="D8" i="10" s="1"/>
  <c r="E8" i="10" s="1"/>
  <c r="C9" i="10" s="1"/>
  <c r="D9" i="10" s="1"/>
  <c r="E9" i="10" s="1"/>
  <c r="C10" i="10" s="1"/>
  <c r="B22" i="7"/>
  <c r="D27" i="9" l="1"/>
  <c r="E26" i="9"/>
  <c r="D10" i="10"/>
  <c r="E10" i="10" s="1"/>
  <c r="C11" i="10" s="1"/>
  <c r="D28" i="9" l="1"/>
  <c r="E27" i="9"/>
  <c r="D11" i="10"/>
  <c r="E11" i="10" s="1"/>
  <c r="C12" i="10" s="1"/>
  <c r="D12" i="10" s="1"/>
  <c r="E12" i="10" s="1"/>
  <c r="C13" i="10" s="1"/>
  <c r="D13" i="10" s="1"/>
  <c r="E13" i="10" s="1"/>
  <c r="C14" i="10" s="1"/>
  <c r="D29" i="9" l="1"/>
  <c r="E28" i="9"/>
  <c r="D14" i="10"/>
  <c r="E14" i="10" s="1"/>
  <c r="C15" i="10" s="1"/>
  <c r="D30" i="9" l="1"/>
  <c r="E29" i="9"/>
  <c r="D15" i="10"/>
  <c r="E15" i="10" s="1"/>
  <c r="C16" i="10" s="1"/>
  <c r="D16" i="10" s="1"/>
  <c r="E16" i="10" s="1"/>
  <c r="C17" i="10" s="1"/>
  <c r="D17" i="10" s="1"/>
  <c r="E17" i="10" s="1"/>
  <c r="C18" i="10" s="1"/>
  <c r="D31" i="9" l="1"/>
  <c r="E30" i="9"/>
  <c r="D18" i="10"/>
  <c r="E18" i="10" s="1"/>
  <c r="C19" i="10" s="1"/>
  <c r="D32" i="9" l="1"/>
  <c r="E31" i="9"/>
  <c r="D19" i="10"/>
  <c r="E19" i="10" s="1"/>
  <c r="C20" i="10" s="1"/>
  <c r="D20" i="10" s="1"/>
  <c r="E20" i="10" s="1"/>
  <c r="C21" i="10" s="1"/>
  <c r="D21" i="10" s="1"/>
  <c r="E21" i="10" s="1"/>
  <c r="C22" i="10" s="1"/>
  <c r="D33" i="9" l="1"/>
  <c r="E32" i="9"/>
  <c r="D22" i="10"/>
  <c r="E22" i="10" s="1"/>
  <c r="C23" i="10" s="1"/>
  <c r="D34" i="9" l="1"/>
  <c r="E34" i="9" s="1"/>
  <c r="E33" i="9"/>
  <c r="D23" i="10"/>
  <c r="E23" i="10" s="1"/>
  <c r="C24" i="10" s="1"/>
  <c r="D24" i="10" s="1"/>
  <c r="E24" i="10" s="1"/>
  <c r="C25" i="10" s="1"/>
  <c r="D25" i="10" l="1"/>
  <c r="E25" i="10" s="1"/>
  <c r="C26" i="10" s="1"/>
  <c r="D26" i="10" l="1"/>
  <c r="E26" i="10" s="1"/>
  <c r="C27" i="10" s="1"/>
  <c r="D27" i="10" s="1"/>
  <c r="E27" i="10" s="1"/>
  <c r="C28" i="10" s="1"/>
  <c r="D28" i="10" l="1"/>
  <c r="E28" i="10" s="1"/>
  <c r="C29" i="10" s="1"/>
  <c r="D29" i="10" s="1"/>
  <c r="E29" i="10" s="1"/>
  <c r="C30" i="10" s="1"/>
  <c r="D30" i="10" l="1"/>
  <c r="E30" i="10" s="1"/>
  <c r="C31" i="10" s="1"/>
  <c r="D31" i="10" l="1"/>
  <c r="E31" i="10" s="1"/>
</calcChain>
</file>

<file path=xl/sharedStrings.xml><?xml version="1.0" encoding="utf-8"?>
<sst xmlns="http://schemas.openxmlformats.org/spreadsheetml/2006/main" count="59" uniqueCount="59">
  <si>
    <t>Tuổi hiện tại</t>
  </si>
  <si>
    <t>Tuổi nghỉ hưu</t>
  </si>
  <si>
    <t>Thời gian tiết kiệm (năm)</t>
  </si>
  <si>
    <t>Thời gian nghỉ hưu (năm)</t>
  </si>
  <si>
    <t>Giá trị hiện tại số tiền cần có lúc nghỉ hưu</t>
  </si>
  <si>
    <t>THIẾT LẬP MỤC TIÊU</t>
  </si>
  <si>
    <t>MỨC SỐNG LÝ TƯỞNG KHI VỀ HƯU</t>
  </si>
  <si>
    <t>KHOẢN THIẾU HỤT &amp; KHOẢN CẦN TIẾT KIỆM</t>
  </si>
  <si>
    <t>TÍNH TOÁN KẾ HOẠCH HƯU TRÍ</t>
  </si>
  <si>
    <t>Mức sống mong muốn khi nghỉ hưu theo thời giá hiện nay</t>
  </si>
  <si>
    <t xml:space="preserve"> Năm</t>
  </si>
  <si>
    <t>Số năm tham gia BHXH</t>
  </si>
  <si>
    <t>Tuổi</t>
  </si>
  <si>
    <t>Lương đóng BHXH (tháng) (VND)</t>
  </si>
  <si>
    <t>Lương đóng BHXH (Năm) (VND)</t>
  </si>
  <si>
    <t>Tổng lương hưu nhận hàng năm sau khi nghỉ hưu</t>
  </si>
  <si>
    <t>TỔNG CÁC QUỸ SẼ CÓ KHI NGHỈ HƯU</t>
  </si>
  <si>
    <t>Lạm phát trung bình mỗi năm</t>
  </si>
  <si>
    <t>Năm thứ</t>
  </si>
  <si>
    <t>Số tiền cần cho năm nghỉ hưu đầu tiên FV</t>
  </si>
  <si>
    <t>SỐ TIỀN HƯU TRÍ HÀNG NĂM</t>
  </si>
  <si>
    <t>Số tiền cần thiết để nghỉ hưu</t>
  </si>
  <si>
    <t xml:space="preserve">Số tiền còn lại sau mỗi năm </t>
  </si>
  <si>
    <t>Tuổi Nghỉ hưu</t>
  </si>
  <si>
    <t>Tổng lương đóng BHXH trước khi nghỉ hưu</t>
  </si>
  <si>
    <t>Số tiền cần thiết cho hưu trí</t>
  </si>
  <si>
    <t>Khoản dự kiến từ bảo hiểm xã hội</t>
  </si>
  <si>
    <t>Cần tiết kiệm mỗi năm từ bây giờ</t>
  </si>
  <si>
    <t>Tỷ suất lợi nhuận mỗi năm trung bình</t>
  </si>
  <si>
    <t>Khoản tiết kiệm đã có dành riêng cho mục tiêu hưu trí</t>
  </si>
  <si>
    <t>Tổng thiếu hụt cho mục tiêu hưu trí</t>
  </si>
  <si>
    <t xml:space="preserve">Lãi suất của khoản còn lại sau mỗi năm </t>
  </si>
  <si>
    <t>Số tiền hưu trí hàng năm đã tính lạm phát</t>
  </si>
  <si>
    <t>TÍNH TOÁN TỔNG SỐ TIỀN HƯU TRÍ</t>
  </si>
  <si>
    <t>Khoản tiền lương hưu cần thiết đã bao gồm lạm phát</t>
  </si>
  <si>
    <t>Số tiền thực tế cần tiết kiệm cho từng năm hưu trí</t>
  </si>
  <si>
    <t>Tổng số tiền cần thiết cho hưu trí mong muốn</t>
  </si>
  <si>
    <t>SỐ TIỀN HƯU TRÍ TỪ BHXH (tính chất tham khảo)</t>
  </si>
  <si>
    <t>Tuổi bắt đầu 
đóng BHXH</t>
  </si>
  <si>
    <t>Giả định tăng lương hàng năm</t>
  </si>
  <si>
    <t>Lương hưu nhận hàng tháng sau khi nghỉ hưu</t>
  </si>
  <si>
    <t>Tổng nhận từ bảo hiểm xã hội (giả định sống thọ đúng số năm hưu trí)</t>
  </si>
  <si>
    <t>Bình quân thu nhập các tháng đóng BHXH</t>
  </si>
  <si>
    <t>Kiểm chứng việc tiết kiệm hàng năm</t>
  </si>
  <si>
    <t>Số tiền tiết kiệm hàng năm đã tính toán</t>
  </si>
  <si>
    <t>Lãi suất tiết kiệm/ đầu tư</t>
  </si>
  <si>
    <t>Năm</t>
  </si>
  <si>
    <t>Số tiền bắt đầu mỗi đầu năm</t>
  </si>
  <si>
    <t>Lãi suất có được sau mỗi năm</t>
  </si>
  <si>
    <t>Số tiền có khi kết thúc mỗi năm</t>
  </si>
  <si>
    <t>Số năm tiết kiệm đến khi hưu trí</t>
  </si>
  <si>
    <t>QUY ĐỊNH</t>
  </si>
  <si>
    <t>1. Nam đủ 35 năm, nữ đủ 30 năm mới đạt tối đa 75%</t>
  </si>
  <si>
    <t>2. Nam đủ 20 năm, nữ đủ 15 năm, hưởng 45%, cứ mỗi năm tăng thêm nhận thêm 2%, tối đa 75%</t>
  </si>
  <si>
    <t>3. Tối đa mức đóng không vượt quá 20 tháng lương cơ sở</t>
  </si>
  <si>
    <t>4. Tháng lương cơ sở 2022 là 1.49 triệu/ tháng</t>
  </si>
  <si>
    <t>5. Tuổi nghỉ hưu với nam: 60, với nữ: 55</t>
  </si>
  <si>
    <t>6. Sau tuổi 40 thu nhập lao động thường có xu hướng đi ngang hoặc giảm</t>
  </si>
  <si>
    <t>Giá trị tương lai của khoản tiền tiết kiệm (tỉ suất lợi nhuận đều đặn 10%/ năm)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</si>
</sst>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charset val="163"/>
      <scheme val="minor"/>
    </font>
    <font>
      <i/>
      <sz val="14"/>
      <color theme="1"/>
      <name val="Calibri"/>
      <family val="2"/>
      <scheme val="minor"/>
    </font>
    <font>
      <b/>
      <sz val="18"/>
      <color theme="0"/>
      <name val="Calibri"/>
      <family val="2"/>
      <charset val="163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charset val="163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9" fontId="2" fillId="0" borderId="0" xfId="2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4" fontId="3" fillId="4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3" fontId="4" fillId="5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64" fontId="4" fillId="6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2" fillId="3" borderId="0" xfId="1" applyFont="1" applyFill="1" applyBorder="1" applyAlignment="1">
      <alignment horizontal="center" vertical="center"/>
    </xf>
    <xf numFmtId="43" fontId="2" fillId="0" borderId="0" xfId="0" applyNumberFormat="1" applyFont="1" applyBorder="1"/>
    <xf numFmtId="9" fontId="11" fillId="7" borderId="0" xfId="2" applyFont="1" applyFill="1" applyBorder="1" applyAlignment="1">
      <alignment horizontal="right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38" fontId="15" fillId="0" borderId="0" xfId="0" applyNumberFormat="1" applyFont="1" applyFill="1" applyBorder="1" applyAlignment="1">
      <alignment horizontal="center" vertical="center" wrapText="1"/>
    </xf>
    <xf numFmtId="9" fontId="15" fillId="0" borderId="0" xfId="2" applyFont="1" applyFill="1" applyBorder="1" applyAlignment="1">
      <alignment horizontal="center" vertical="center" wrapText="1"/>
    </xf>
    <xf numFmtId="1" fontId="15" fillId="0" borderId="0" xfId="2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8" fontId="12" fillId="0" borderId="0" xfId="0" applyNumberFormat="1" applyFont="1" applyFill="1" applyBorder="1" applyAlignment="1">
      <alignment horizontal="center" vertical="center" wrapText="1"/>
    </xf>
    <xf numFmtId="38" fontId="16" fillId="0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8" borderId="0" xfId="0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164" fontId="2" fillId="3" borderId="0" xfId="1" applyNumberFormat="1" applyFont="1" applyFill="1" applyBorder="1" applyAlignment="1">
      <alignment horizontal="left" vertical="center"/>
    </xf>
    <xf numFmtId="164" fontId="2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164" fontId="4" fillId="3" borderId="0" xfId="1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1">
    <dxf>
      <fill>
        <patternFill>
          <bgColor theme="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showGridLines="0" topLeftCell="A13" workbookViewId="0">
      <selection activeCell="C21" sqref="C21"/>
    </sheetView>
  </sheetViews>
  <sheetFormatPr defaultRowHeight="15.75" x14ac:dyDescent="0.25"/>
  <cols>
    <col min="1" max="1" width="9.140625" style="1"/>
    <col min="2" max="2" width="60.5703125" style="2" customWidth="1"/>
    <col min="3" max="3" width="19" style="3" customWidth="1"/>
    <col min="4" max="16384" width="9.140625" style="1"/>
  </cols>
  <sheetData>
    <row r="1" spans="2:3" ht="28.5" customHeight="1" x14ac:dyDescent="0.25"/>
    <row r="2" spans="2:3" ht="30" customHeight="1" x14ac:dyDescent="0.25">
      <c r="B2" s="55" t="s">
        <v>8</v>
      </c>
      <c r="C2" s="55"/>
    </row>
    <row r="3" spans="2:3" ht="18" customHeight="1" x14ac:dyDescent="0.25">
      <c r="B3" s="4" t="s">
        <v>28</v>
      </c>
      <c r="C3" s="5">
        <v>0.1</v>
      </c>
    </row>
    <row r="4" spans="2:3" ht="18" customHeight="1" x14ac:dyDescent="0.25">
      <c r="B4" s="4" t="s">
        <v>17</v>
      </c>
      <c r="C4" s="5">
        <v>0.03</v>
      </c>
    </row>
    <row r="5" spans="2:3" ht="18" customHeight="1" x14ac:dyDescent="0.25">
      <c r="B5" s="4" t="s">
        <v>9</v>
      </c>
      <c r="C5" s="6">
        <f>84000000*12</f>
        <v>1008000000</v>
      </c>
    </row>
    <row r="6" spans="2:3" ht="36" customHeight="1" x14ac:dyDescent="0.25">
      <c r="B6" s="4" t="s">
        <v>29</v>
      </c>
      <c r="C6" s="6">
        <f>100000000*(100%-1.2%)</f>
        <v>98800000</v>
      </c>
    </row>
    <row r="7" spans="2:3" ht="21.75" customHeight="1" x14ac:dyDescent="0.25">
      <c r="B7" s="54" t="s">
        <v>5</v>
      </c>
      <c r="C7" s="54"/>
    </row>
    <row r="8" spans="2:3" ht="18.75" customHeight="1" x14ac:dyDescent="0.25">
      <c r="B8" s="4" t="s">
        <v>0</v>
      </c>
      <c r="C8" s="6">
        <v>30</v>
      </c>
    </row>
    <row r="9" spans="2:3" ht="18.75" customHeight="1" x14ac:dyDescent="0.25">
      <c r="B9" s="4" t="s">
        <v>1</v>
      </c>
      <c r="C9" s="6">
        <v>50</v>
      </c>
    </row>
    <row r="10" spans="2:3" ht="18.75" customHeight="1" x14ac:dyDescent="0.25">
      <c r="B10" s="4" t="s">
        <v>2</v>
      </c>
      <c r="C10" s="6">
        <f>C9-C8</f>
        <v>20</v>
      </c>
    </row>
    <row r="11" spans="2:3" ht="18.75" customHeight="1" x14ac:dyDescent="0.25">
      <c r="B11" s="4" t="s">
        <v>3</v>
      </c>
      <c r="C11" s="6">
        <v>30</v>
      </c>
    </row>
    <row r="12" spans="2:3" ht="22.5" customHeight="1" x14ac:dyDescent="0.25">
      <c r="B12" s="54" t="s">
        <v>16</v>
      </c>
      <c r="C12" s="54"/>
    </row>
    <row r="13" spans="2:3" ht="38.25" customHeight="1" x14ac:dyDescent="0.25">
      <c r="B13" s="4" t="s">
        <v>58</v>
      </c>
      <c r="C13" s="6">
        <f>FV(C3,C10,,-C6)</f>
        <v>664676994.99337018</v>
      </c>
    </row>
    <row r="14" spans="2:3" ht="22.5" customHeight="1" x14ac:dyDescent="0.25">
      <c r="B14" s="54" t="s">
        <v>6</v>
      </c>
      <c r="C14" s="54"/>
    </row>
    <row r="15" spans="2:3" ht="28.5" customHeight="1" x14ac:dyDescent="0.25">
      <c r="B15" s="4" t="s">
        <v>19</v>
      </c>
      <c r="C15" s="6">
        <f>FV(C4,C10,,-C5)</f>
        <v>1820560124.5467687</v>
      </c>
    </row>
    <row r="16" spans="2:3" ht="28.5" customHeight="1" x14ac:dyDescent="0.25">
      <c r="B16" s="4" t="s">
        <v>4</v>
      </c>
      <c r="C16" s="6">
        <f>(C15/(C3-C4))*(1-((1+C4)/(1+C3))^C11)</f>
        <v>22390213290.177994</v>
      </c>
    </row>
    <row r="17" spans="2:3" ht="23.25" customHeight="1" x14ac:dyDescent="0.25">
      <c r="B17" s="54" t="s">
        <v>7</v>
      </c>
      <c r="C17" s="54"/>
    </row>
    <row r="18" spans="2:3" ht="29.25" customHeight="1" x14ac:dyDescent="0.25">
      <c r="B18" s="12" t="s">
        <v>25</v>
      </c>
      <c r="C18" s="13">
        <f>C16-C13</f>
        <v>21725536295.184624</v>
      </c>
    </row>
    <row r="19" spans="2:3" ht="29.25" customHeight="1" x14ac:dyDescent="0.25">
      <c r="B19" s="2" t="s">
        <v>26</v>
      </c>
      <c r="C19" s="7"/>
    </row>
    <row r="20" spans="2:3" ht="24" customHeight="1" x14ac:dyDescent="0.25">
      <c r="B20" s="8" t="s">
        <v>30</v>
      </c>
      <c r="C20" s="9">
        <f>C18-C19</f>
        <v>21725536295.184624</v>
      </c>
    </row>
    <row r="21" spans="2:3" ht="24.75" customHeight="1" x14ac:dyDescent="0.25">
      <c r="B21" s="10" t="s">
        <v>27</v>
      </c>
      <c r="C21" s="11">
        <f>PMT(C3,C10,,-C20,1)</f>
        <v>344836101.54204351</v>
      </c>
    </row>
    <row r="22" spans="2:3" ht="15.75" customHeight="1" x14ac:dyDescent="0.25">
      <c r="B22" s="53" t="str">
        <f>IF(C20&gt;=0,"CẨN THẬN! ANH CHỊ CÓ THỂ KHÔNG ĐƯỢC AN NHÀN!","CHÚC MỪNG! ANH CHỊ SẼ ĐƯỢC AN NHÀN")</f>
        <v>CẨN THẬN! ANH CHỊ CÓ THỂ KHÔNG ĐƯỢC AN NHÀN!</v>
      </c>
      <c r="C22" s="53"/>
    </row>
    <row r="23" spans="2:3" ht="15.75" customHeight="1" x14ac:dyDescent="0.25">
      <c r="B23" s="53"/>
      <c r="C23" s="53"/>
    </row>
  </sheetData>
  <mergeCells count="6">
    <mergeCell ref="B22:C23"/>
    <mergeCell ref="B17:C17"/>
    <mergeCell ref="B2:C2"/>
    <mergeCell ref="B7:C7"/>
    <mergeCell ref="B12:C12"/>
    <mergeCell ref="B14:C14"/>
  </mergeCells>
  <conditionalFormatting sqref="B3:C6 B13:C13 B15:C16 B18:C18 B8:C11">
    <cfRule type="expression" dxfId="20" priority="3">
      <formula>MOD(ROW(),2)&gt;0</formula>
    </cfRule>
  </conditionalFormatting>
  <conditionalFormatting sqref="B22:C23">
    <cfRule type="containsText" dxfId="19" priority="1" operator="containsText" text="CHÚC">
      <formula>NOT(ISERROR(SEARCH("CHÚC",B22)))</formula>
    </cfRule>
    <cfRule type="containsText" dxfId="18" priority="2" operator="containsText" text="CẨN">
      <formula>NOT(ISERROR(SEARCH("CẨN",B22)))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workbookViewId="0">
      <selection activeCell="E36" sqref="E36"/>
    </sheetView>
  </sheetViews>
  <sheetFormatPr defaultRowHeight="15.75" x14ac:dyDescent="0.25"/>
  <cols>
    <col min="1" max="1" width="9.140625" style="23"/>
    <col min="2" max="2" width="19" style="24" customWidth="1"/>
    <col min="3" max="3" width="20.42578125" style="24" customWidth="1"/>
    <col min="4" max="4" width="27.5703125" style="25" customWidth="1"/>
    <col min="5" max="5" width="28.140625" style="23" customWidth="1"/>
    <col min="6" max="6" width="13.5703125" style="23" bestFit="1" customWidth="1"/>
    <col min="7" max="16384" width="9.140625" style="23"/>
  </cols>
  <sheetData>
    <row r="1" spans="2:6" ht="31.5" customHeight="1" x14ac:dyDescent="0.25"/>
    <row r="2" spans="2:6" ht="21" customHeight="1" x14ac:dyDescent="0.25">
      <c r="B2" s="56" t="s">
        <v>33</v>
      </c>
      <c r="C2" s="56"/>
      <c r="D2" s="56"/>
      <c r="E2" s="56"/>
    </row>
    <row r="3" spans="2:6" ht="21" customHeight="1" x14ac:dyDescent="0.25">
      <c r="B3" s="56"/>
      <c r="C3" s="56"/>
      <c r="D3" s="56"/>
      <c r="E3" s="56"/>
    </row>
    <row r="4" spans="2:6" ht="37.5" customHeight="1" x14ac:dyDescent="0.25">
      <c r="B4" s="26" t="s">
        <v>18</v>
      </c>
      <c r="C4" s="27" t="s">
        <v>12</v>
      </c>
      <c r="D4" s="28" t="s">
        <v>34</v>
      </c>
      <c r="E4" s="28" t="s">
        <v>35</v>
      </c>
    </row>
    <row r="5" spans="2:6" ht="21" customHeight="1" x14ac:dyDescent="0.25">
      <c r="B5" s="24">
        <v>1</v>
      </c>
      <c r="C5" s="32">
        <f>'Tổng quan'!$C$9+1</f>
        <v>51</v>
      </c>
      <c r="D5" s="25">
        <f>'Tổng quan'!C15</f>
        <v>1820560124.5467687</v>
      </c>
      <c r="E5" s="25">
        <f>PV('Tổng quan'!$C$3,B5,,-D5)</f>
        <v>1655054658.6788805</v>
      </c>
    </row>
    <row r="6" spans="2:6" ht="21" customHeight="1" x14ac:dyDescent="0.25">
      <c r="B6" s="24">
        <v>2</v>
      </c>
      <c r="C6" s="32">
        <f>C5+1</f>
        <v>52</v>
      </c>
      <c r="D6" s="25">
        <f>D5*(1+'Tổng quan'!$C$4)</f>
        <v>1875176928.2831719</v>
      </c>
      <c r="E6" s="25">
        <f>PV('Tổng quan'!$C$3,B6,,-D6)</f>
        <v>1549732998.5811336</v>
      </c>
      <c r="F6" s="29"/>
    </row>
    <row r="7" spans="2:6" ht="21" customHeight="1" x14ac:dyDescent="0.25">
      <c r="B7" s="24">
        <v>3</v>
      </c>
      <c r="C7" s="32">
        <f t="shared" ref="C7:C34" si="0">C6+1</f>
        <v>53</v>
      </c>
      <c r="D7" s="25">
        <f>D6*(1+'Tổng quan'!$C$4)</f>
        <v>1931432236.1316671</v>
      </c>
      <c r="E7" s="25">
        <f>PV('Tổng quan'!$C$3,B7,,-D7)</f>
        <v>1451113625.9441521</v>
      </c>
    </row>
    <row r="8" spans="2:6" ht="21" customHeight="1" x14ac:dyDescent="0.25">
      <c r="B8" s="24">
        <v>4</v>
      </c>
      <c r="C8" s="32">
        <f t="shared" si="0"/>
        <v>54</v>
      </c>
      <c r="D8" s="25">
        <f>D7*(1+'Tổng quan'!$C$4)</f>
        <v>1989375203.2156172</v>
      </c>
      <c r="E8" s="25">
        <f>PV('Tổng quan'!$C$3,B8,,-D8)</f>
        <v>1358770031.5658879</v>
      </c>
    </row>
    <row r="9" spans="2:6" ht="21" customHeight="1" x14ac:dyDescent="0.25">
      <c r="B9" s="24">
        <v>5</v>
      </c>
      <c r="C9" s="32">
        <f t="shared" si="0"/>
        <v>55</v>
      </c>
      <c r="D9" s="25">
        <f>D8*(1+'Tổng quan'!$C$4)</f>
        <v>2049056459.3120859</v>
      </c>
      <c r="E9" s="25">
        <f>PV('Tổng quan'!$C$3,B9,,-D9)</f>
        <v>1272302847.7389679</v>
      </c>
    </row>
    <row r="10" spans="2:6" ht="21" customHeight="1" x14ac:dyDescent="0.25">
      <c r="B10" s="24">
        <v>6</v>
      </c>
      <c r="C10" s="32">
        <f t="shared" si="0"/>
        <v>56</v>
      </c>
      <c r="D10" s="25">
        <f>D9*(1+'Tổng quan'!$C$4)</f>
        <v>2110528153.0914485</v>
      </c>
      <c r="E10" s="25">
        <f>PV('Tổng quan'!$C$3,B10,,-D10)</f>
        <v>1191338121.0646698</v>
      </c>
    </row>
    <row r="11" spans="2:6" ht="21" customHeight="1" x14ac:dyDescent="0.25">
      <c r="B11" s="24">
        <v>7</v>
      </c>
      <c r="C11" s="32">
        <f t="shared" si="0"/>
        <v>57</v>
      </c>
      <c r="D11" s="25">
        <f>D10*(1+'Tổng quan'!$C$4)</f>
        <v>2173843997.6841922</v>
      </c>
      <c r="E11" s="25">
        <f>PV('Tổng quan'!$C$3,B11,,-D11)</f>
        <v>1115525695.1787362</v>
      </c>
    </row>
    <row r="12" spans="2:6" ht="21" customHeight="1" x14ac:dyDescent="0.25">
      <c r="B12" s="24">
        <v>8</v>
      </c>
      <c r="C12" s="32">
        <f t="shared" si="0"/>
        <v>58</v>
      </c>
      <c r="D12" s="25">
        <f>D11*(1+'Tổng quan'!$C$4)</f>
        <v>2239059317.614718</v>
      </c>
      <c r="E12" s="25">
        <f>PV('Tổng quan'!$C$3,B12,,-D12)</f>
        <v>1044537696.394635</v>
      </c>
    </row>
    <row r="13" spans="2:6" ht="21" customHeight="1" x14ac:dyDescent="0.25">
      <c r="B13" s="24">
        <v>9</v>
      </c>
      <c r="C13" s="32">
        <f t="shared" si="0"/>
        <v>59</v>
      </c>
      <c r="D13" s="25">
        <f>D12*(1+'Tổng quan'!$C$4)</f>
        <v>2306231097.1431594</v>
      </c>
      <c r="E13" s="25">
        <f>PV('Tổng quan'!$C$3,B13,,-D13)</f>
        <v>978067115.71497619</v>
      </c>
    </row>
    <row r="14" spans="2:6" ht="21" customHeight="1" x14ac:dyDescent="0.25">
      <c r="B14" s="24">
        <v>10</v>
      </c>
      <c r="C14" s="32">
        <f t="shared" si="0"/>
        <v>60</v>
      </c>
      <c r="D14" s="25">
        <f>D13*(1+'Tổng quan'!$C$4)</f>
        <v>2375418030.0574541</v>
      </c>
      <c r="E14" s="25">
        <f>PV('Tổng quan'!$C$3,B14,,-D14)</f>
        <v>915826481.07856846</v>
      </c>
    </row>
    <row r="15" spans="2:6" ht="21" customHeight="1" x14ac:dyDescent="0.25">
      <c r="B15" s="24">
        <v>11</v>
      </c>
      <c r="C15" s="32">
        <f t="shared" si="0"/>
        <v>61</v>
      </c>
      <c r="D15" s="25">
        <f>D14*(1+'Tổng quan'!$C$4)</f>
        <v>2446680570.959178</v>
      </c>
      <c r="E15" s="25">
        <f>PV('Tổng quan'!$C$3,B15,,-D15)</f>
        <v>857546614.1008414</v>
      </c>
    </row>
    <row r="16" spans="2:6" ht="21" customHeight="1" x14ac:dyDescent="0.25">
      <c r="B16" s="24">
        <v>12</v>
      </c>
      <c r="C16" s="32">
        <f t="shared" si="0"/>
        <v>62</v>
      </c>
      <c r="D16" s="25">
        <f>D15*(1+'Tổng quan'!$C$4)</f>
        <v>2520080988.0879536</v>
      </c>
      <c r="E16" s="25">
        <f>PV('Tổng quan'!$C$3,B16,,-D16)</f>
        <v>802975465.93078792</v>
      </c>
    </row>
    <row r="17" spans="2:5" ht="21" customHeight="1" x14ac:dyDescent="0.25">
      <c r="B17" s="24">
        <v>13</v>
      </c>
      <c r="C17" s="32">
        <f t="shared" si="0"/>
        <v>63</v>
      </c>
      <c r="D17" s="25">
        <f>D16*(1+'Tổng quan'!$C$4)</f>
        <v>2595683417.7305923</v>
      </c>
      <c r="E17" s="25">
        <f>PV('Tổng quan'!$C$3,B17,,-D17)</f>
        <v>751877027.1897378</v>
      </c>
    </row>
    <row r="18" spans="2:5" ht="21" customHeight="1" x14ac:dyDescent="0.25">
      <c r="B18" s="24">
        <v>14</v>
      </c>
      <c r="C18" s="32">
        <f t="shared" si="0"/>
        <v>64</v>
      </c>
      <c r="D18" s="25">
        <f>D17*(1+'Tổng quan'!$C$4)</f>
        <v>2673553920.2625103</v>
      </c>
      <c r="E18" s="25">
        <f>PV('Tổng quan'!$C$3,B18,,-D18)</f>
        <v>704030307.27766359</v>
      </c>
    </row>
    <row r="19" spans="2:5" ht="21" customHeight="1" x14ac:dyDescent="0.25">
      <c r="B19" s="24">
        <v>15</v>
      </c>
      <c r="C19" s="32">
        <f t="shared" si="0"/>
        <v>65</v>
      </c>
      <c r="D19" s="25">
        <f>D18*(1+'Tổng quan'!$C$4)</f>
        <v>2753760537.8703856</v>
      </c>
      <c r="E19" s="25">
        <f>PV('Tổng quan'!$C$3,B19,,-D19)</f>
        <v>659228378.6327213</v>
      </c>
    </row>
    <row r="20" spans="2:5" ht="21" customHeight="1" x14ac:dyDescent="0.25">
      <c r="B20" s="24">
        <v>16</v>
      </c>
      <c r="C20" s="32">
        <f t="shared" si="0"/>
        <v>66</v>
      </c>
      <c r="D20" s="25">
        <f>D19*(1+'Tổng quan'!$C$4)</f>
        <v>2836373354.0064974</v>
      </c>
      <c r="E20" s="25">
        <f>PV('Tổng quan'!$C$3,B20,,-D20)</f>
        <v>617277481.81063902</v>
      </c>
    </row>
    <row r="21" spans="2:5" ht="21" customHeight="1" x14ac:dyDescent="0.25">
      <c r="B21" s="24">
        <v>17</v>
      </c>
      <c r="C21" s="32">
        <f t="shared" si="0"/>
        <v>67</v>
      </c>
      <c r="D21" s="25">
        <f>D20*(1+'Tổng quan'!$C$4)</f>
        <v>2921464554.6266923</v>
      </c>
      <c r="E21" s="25">
        <f>PV('Tổng quan'!$C$3,B21,,-D21)</f>
        <v>577996187.51359844</v>
      </c>
    </row>
    <row r="22" spans="2:5" ht="21" customHeight="1" x14ac:dyDescent="0.25">
      <c r="B22" s="24">
        <v>18</v>
      </c>
      <c r="C22" s="32">
        <f t="shared" si="0"/>
        <v>68</v>
      </c>
      <c r="D22" s="25">
        <f>D21*(1+'Tổng quan'!$C$4)</f>
        <v>3009108491.2654929</v>
      </c>
      <c r="E22" s="25">
        <f>PV('Tổng quan'!$C$3,B22,,-D22)</f>
        <v>541214611.94455111</v>
      </c>
    </row>
    <row r="23" spans="2:5" ht="21" customHeight="1" x14ac:dyDescent="0.25">
      <c r="B23" s="24">
        <v>19</v>
      </c>
      <c r="C23" s="32">
        <f t="shared" si="0"/>
        <v>69</v>
      </c>
      <c r="D23" s="25">
        <f>D22*(1+'Tổng quan'!$C$4)</f>
        <v>3099381746.0034575</v>
      </c>
      <c r="E23" s="25">
        <f>PV('Tổng quan'!$C$3,B23,,-D23)</f>
        <v>506773682.09353411</v>
      </c>
    </row>
    <row r="24" spans="2:5" ht="21" customHeight="1" x14ac:dyDescent="0.25">
      <c r="B24" s="24">
        <v>20</v>
      </c>
      <c r="C24" s="32">
        <f t="shared" si="0"/>
        <v>70</v>
      </c>
      <c r="D24" s="25">
        <f>D23*(1+'Tổng quan'!$C$4)</f>
        <v>3192363198.3835611</v>
      </c>
      <c r="E24" s="25">
        <f>PV('Tổng quan'!$C$3,B24,,-D24)</f>
        <v>474524447.77849102</v>
      </c>
    </row>
    <row r="25" spans="2:5" ht="21" customHeight="1" x14ac:dyDescent="0.25">
      <c r="B25" s="24">
        <v>21</v>
      </c>
      <c r="C25" s="32">
        <f t="shared" si="0"/>
        <v>71</v>
      </c>
      <c r="D25" s="25">
        <f>D24*(1+'Tổng quan'!$C$4)</f>
        <v>3288134094.3350682</v>
      </c>
      <c r="E25" s="25">
        <f>PV('Tổng quan'!$C$3,B25,,-D25)</f>
        <v>444327437.46531433</v>
      </c>
    </row>
    <row r="26" spans="2:5" ht="21" customHeight="1" x14ac:dyDescent="0.25">
      <c r="B26" s="24">
        <v>22</v>
      </c>
      <c r="C26" s="32">
        <f t="shared" si="0"/>
        <v>72</v>
      </c>
      <c r="D26" s="25">
        <f>D25*(1+'Tổng quan'!$C$4)</f>
        <v>3386778117.1651201</v>
      </c>
      <c r="E26" s="25">
        <f>PV('Tổng quan'!$C$3,B26,,-D26)</f>
        <v>416052055.08115786</v>
      </c>
    </row>
    <row r="27" spans="2:5" ht="21" customHeight="1" x14ac:dyDescent="0.25">
      <c r="B27" s="24">
        <v>23</v>
      </c>
      <c r="C27" s="32">
        <f t="shared" si="0"/>
        <v>73</v>
      </c>
      <c r="D27" s="25">
        <f>D26*(1+'Tổng quan'!$C$4)</f>
        <v>3488381460.6800737</v>
      </c>
      <c r="E27" s="25">
        <f>PV('Tổng quan'!$C$3,B27,,-D27)</f>
        <v>389576015.21235687</v>
      </c>
    </row>
    <row r="28" spans="2:5" ht="21" customHeight="1" x14ac:dyDescent="0.25">
      <c r="B28" s="24">
        <v>24</v>
      </c>
      <c r="C28" s="32">
        <f t="shared" si="0"/>
        <v>74</v>
      </c>
      <c r="D28" s="25">
        <f>D27*(1+'Tổng quan'!$C$4)</f>
        <v>3593032904.5004759</v>
      </c>
      <c r="E28" s="25">
        <f>PV('Tổng quan'!$C$3,B28,,-D28)</f>
        <v>364784814.24429786</v>
      </c>
    </row>
    <row r="29" spans="2:5" ht="21" customHeight="1" x14ac:dyDescent="0.25">
      <c r="B29" s="24">
        <v>25</v>
      </c>
      <c r="C29" s="32">
        <f t="shared" si="0"/>
        <v>75</v>
      </c>
      <c r="D29" s="25">
        <f>D28*(1+'Tổng quan'!$C$4)</f>
        <v>3700823891.6354904</v>
      </c>
      <c r="E29" s="25">
        <f>PV('Tổng quan'!$C$3,B29,,-D29)</f>
        <v>341571235.15602434</v>
      </c>
    </row>
    <row r="30" spans="2:5" ht="21" customHeight="1" x14ac:dyDescent="0.25">
      <c r="B30" s="24">
        <v>26</v>
      </c>
      <c r="C30" s="32">
        <f t="shared" si="0"/>
        <v>76</v>
      </c>
      <c r="D30" s="25">
        <f>D29*(1+'Tổng quan'!$C$4)</f>
        <v>3811848608.3845553</v>
      </c>
      <c r="E30" s="25">
        <f>PV('Tổng quan'!$C$3,B30,,-D30)</f>
        <v>319834883.8279137</v>
      </c>
    </row>
    <row r="31" spans="2:5" ht="21" customHeight="1" x14ac:dyDescent="0.25">
      <c r="B31" s="24">
        <v>27</v>
      </c>
      <c r="C31" s="32">
        <f t="shared" si="0"/>
        <v>77</v>
      </c>
      <c r="D31" s="25">
        <f>D30*(1+'Tổng quan'!$C$4)</f>
        <v>3926204066.6360922</v>
      </c>
      <c r="E31" s="25">
        <f>PV('Tổng quan'!$C$3,B31,,-D31)</f>
        <v>299481754.85704643</v>
      </c>
    </row>
    <row r="32" spans="2:5" ht="21" customHeight="1" x14ac:dyDescent="0.25">
      <c r="B32" s="24">
        <v>28</v>
      </c>
      <c r="C32" s="32">
        <f t="shared" si="0"/>
        <v>78</v>
      </c>
      <c r="D32" s="25">
        <f>D31*(1+'Tổng quan'!$C$4)</f>
        <v>4043990188.6351752</v>
      </c>
      <c r="E32" s="25">
        <f>PV('Tổng quan'!$C$3,B32,,-D32)</f>
        <v>280423825.00250715</v>
      </c>
    </row>
    <row r="33" spans="2:5" ht="21" customHeight="1" x14ac:dyDescent="0.25">
      <c r="B33" s="24">
        <v>29</v>
      </c>
      <c r="C33" s="32">
        <f t="shared" si="0"/>
        <v>79</v>
      </c>
      <c r="D33" s="25">
        <f>D32*(1+'Tổng quan'!$C$4)</f>
        <v>4165309894.2942305</v>
      </c>
      <c r="E33" s="25">
        <f>PV('Tổng quan'!$C$3,B33,,-D33)</f>
        <v>262578672.50234756</v>
      </c>
    </row>
    <row r="34" spans="2:5" ht="21" customHeight="1" x14ac:dyDescent="0.25">
      <c r="B34" s="24">
        <v>30</v>
      </c>
      <c r="C34" s="32">
        <f t="shared" si="0"/>
        <v>80</v>
      </c>
      <c r="D34" s="25">
        <f>D33*(1+'Tổng quan'!$C$4)</f>
        <v>4290269191.1230574</v>
      </c>
      <c r="E34" s="25">
        <f>PV('Tổng quan'!$C$3,B34,,-D34)</f>
        <v>245869120.6158345</v>
      </c>
    </row>
    <row r="35" spans="2:5" s="30" customFormat="1" ht="33" customHeight="1" x14ac:dyDescent="0.25">
      <c r="B35" s="57" t="s">
        <v>36</v>
      </c>
      <c r="C35" s="57"/>
      <c r="D35" s="57"/>
      <c r="E35" s="31">
        <f>SUM(E5:E34)</f>
        <v>22390213290.177967</v>
      </c>
    </row>
  </sheetData>
  <mergeCells count="2">
    <mergeCell ref="B2:E3"/>
    <mergeCell ref="B35:D35"/>
  </mergeCells>
  <conditionalFormatting sqref="B5:E34">
    <cfRule type="expression" dxfId="17" priority="1">
      <formula>MOD(ROW(),2)&gt;0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tabSelected="1" zoomScale="40" zoomScaleNormal="40" workbookViewId="0">
      <selection activeCell="J19" sqref="J19"/>
    </sheetView>
  </sheetViews>
  <sheetFormatPr defaultColWidth="22.5703125" defaultRowHeight="28.5" x14ac:dyDescent="0.45"/>
  <cols>
    <col min="1" max="1" width="22.5703125" style="14"/>
    <col min="2" max="2" width="34.5703125" style="14" customWidth="1"/>
    <col min="3" max="3" width="34.85546875" style="14" customWidth="1"/>
    <col min="4" max="4" width="37.5703125" style="14" customWidth="1"/>
    <col min="5" max="6" width="40.28515625" style="14" customWidth="1"/>
    <col min="7" max="16384" width="22.5703125" style="14"/>
  </cols>
  <sheetData>
    <row r="2" spans="2:7" ht="44.25" customHeight="1" x14ac:dyDescent="0.45">
      <c r="B2" s="58" t="s">
        <v>20</v>
      </c>
      <c r="C2" s="58"/>
      <c r="D2" s="58"/>
      <c r="E2" s="58"/>
      <c r="F2" s="58"/>
      <c r="G2" s="15"/>
    </row>
    <row r="3" spans="2:7" s="17" customFormat="1" ht="99.75" customHeight="1" x14ac:dyDescent="0.25">
      <c r="B3" s="21" t="s">
        <v>23</v>
      </c>
      <c r="C3" s="22" t="s">
        <v>21</v>
      </c>
      <c r="D3" s="22" t="s">
        <v>31</v>
      </c>
      <c r="E3" s="22" t="s">
        <v>32</v>
      </c>
      <c r="F3" s="22" t="s">
        <v>22</v>
      </c>
      <c r="G3" s="16"/>
    </row>
    <row r="4" spans="2:7" s="17" customFormat="1" ht="35.25" customHeight="1" x14ac:dyDescent="0.25">
      <c r="B4" s="18">
        <f>'Kiểm chứng tổng hưu trí'!C5</f>
        <v>51</v>
      </c>
      <c r="C4" s="19">
        <f>'Tổng quan'!C16</f>
        <v>22390213290.177994</v>
      </c>
      <c r="D4" s="18">
        <f>C4*'Tổng quan'!$C$3</f>
        <v>2239021329.0177994</v>
      </c>
      <c r="E4" s="18">
        <f>'Kiểm chứng tổng hưu trí'!D5</f>
        <v>1820560124.5467687</v>
      </c>
      <c r="F4" s="18">
        <f t="shared" ref="F4:F17" si="0">C4+D4-E4</f>
        <v>22808674494.649025</v>
      </c>
      <c r="G4" s="16"/>
    </row>
    <row r="5" spans="2:7" s="17" customFormat="1" ht="35.25" customHeight="1" x14ac:dyDescent="0.25">
      <c r="B5" s="18">
        <f>'Kiểm chứng tổng hưu trí'!C6</f>
        <v>52</v>
      </c>
      <c r="C5" s="18">
        <f t="shared" ref="C5:C33" si="1">F4</f>
        <v>22808674494.649025</v>
      </c>
      <c r="D5" s="18">
        <f>C5*'Tổng quan'!$C$3</f>
        <v>2280867449.4649024</v>
      </c>
      <c r="E5" s="18">
        <f>E4*(1+'Tổng quan'!$C$4)</f>
        <v>1875176928.2831719</v>
      </c>
      <c r="F5" s="18">
        <f t="shared" si="0"/>
        <v>23214365015.830753</v>
      </c>
      <c r="G5" s="16"/>
    </row>
    <row r="6" spans="2:7" s="17" customFormat="1" ht="35.25" customHeight="1" x14ac:dyDescent="0.25">
      <c r="B6" s="18">
        <f>'Kiểm chứng tổng hưu trí'!C7</f>
        <v>53</v>
      </c>
      <c r="C6" s="18">
        <f t="shared" si="1"/>
        <v>23214365015.830753</v>
      </c>
      <c r="D6" s="18">
        <f>C6*'Tổng quan'!$C$3</f>
        <v>2321436501.5830755</v>
      </c>
      <c r="E6" s="18">
        <f>E5*(1+'Tổng quan'!$C$4)</f>
        <v>1931432236.1316671</v>
      </c>
      <c r="F6" s="18">
        <f t="shared" si="0"/>
        <v>23604369281.282162</v>
      </c>
      <c r="G6" s="16"/>
    </row>
    <row r="7" spans="2:7" s="17" customFormat="1" ht="35.25" customHeight="1" x14ac:dyDescent="0.25">
      <c r="B7" s="18">
        <f>'Kiểm chứng tổng hưu trí'!C8</f>
        <v>54</v>
      </c>
      <c r="C7" s="18">
        <f t="shared" si="1"/>
        <v>23604369281.282162</v>
      </c>
      <c r="D7" s="18">
        <f>C7*'Tổng quan'!$C$3</f>
        <v>2360436928.1282163</v>
      </c>
      <c r="E7" s="18">
        <f>E6*(1+'Tổng quan'!$C$4)</f>
        <v>1989375203.2156172</v>
      </c>
      <c r="F7" s="18">
        <f t="shared" si="0"/>
        <v>23975431006.194759</v>
      </c>
      <c r="G7" s="16"/>
    </row>
    <row r="8" spans="2:7" s="17" customFormat="1" ht="35.25" customHeight="1" x14ac:dyDescent="0.25">
      <c r="B8" s="18">
        <f>'Kiểm chứng tổng hưu trí'!C9</f>
        <v>55</v>
      </c>
      <c r="C8" s="18">
        <f t="shared" si="1"/>
        <v>23975431006.194759</v>
      </c>
      <c r="D8" s="18">
        <f>C8*'Tổng quan'!$C$3</f>
        <v>2397543100.6194758</v>
      </c>
      <c r="E8" s="18">
        <f>E7*(1+'Tổng quan'!$C$4)</f>
        <v>2049056459.3120859</v>
      </c>
      <c r="F8" s="18">
        <f t="shared" si="0"/>
        <v>24323917647.502151</v>
      </c>
      <c r="G8" s="16"/>
    </row>
    <row r="9" spans="2:7" s="17" customFormat="1" ht="35.25" customHeight="1" x14ac:dyDescent="0.25">
      <c r="B9" s="18">
        <f>'Kiểm chứng tổng hưu trí'!C10</f>
        <v>56</v>
      </c>
      <c r="C9" s="18">
        <f t="shared" si="1"/>
        <v>24323917647.502151</v>
      </c>
      <c r="D9" s="18">
        <f>C9*'Tổng quan'!$C$3</f>
        <v>2432391764.7502151</v>
      </c>
      <c r="E9" s="18">
        <f>E8*(1+'Tổng quan'!$C$4)</f>
        <v>2110528153.0914485</v>
      </c>
      <c r="F9" s="18">
        <f t="shared" si="0"/>
        <v>24645781259.160915</v>
      </c>
      <c r="G9" s="16"/>
    </row>
    <row r="10" spans="2:7" s="17" customFormat="1" ht="35.25" customHeight="1" x14ac:dyDescent="0.25">
      <c r="B10" s="18">
        <f>'Kiểm chứng tổng hưu trí'!C11</f>
        <v>57</v>
      </c>
      <c r="C10" s="18">
        <f t="shared" si="1"/>
        <v>24645781259.160915</v>
      </c>
      <c r="D10" s="18">
        <f>C10*'Tổng quan'!$C$3</f>
        <v>2464578125.9160914</v>
      </c>
      <c r="E10" s="18">
        <f>E9*(1+'Tổng quan'!$C$4)</f>
        <v>2173843997.6841922</v>
      </c>
      <c r="F10" s="18">
        <f t="shared" si="0"/>
        <v>24936515387.392815</v>
      </c>
      <c r="G10" s="16"/>
    </row>
    <row r="11" spans="2:7" s="17" customFormat="1" ht="35.25" customHeight="1" x14ac:dyDescent="0.25">
      <c r="B11" s="18">
        <f>'Kiểm chứng tổng hưu trí'!C12</f>
        <v>58</v>
      </c>
      <c r="C11" s="18">
        <f t="shared" si="1"/>
        <v>24936515387.392815</v>
      </c>
      <c r="D11" s="18">
        <f>C11*'Tổng quan'!$C$3</f>
        <v>2493651538.7392817</v>
      </c>
      <c r="E11" s="18">
        <f>E10*(1+'Tổng quan'!$C$4)</f>
        <v>2239059317.614718</v>
      </c>
      <c r="F11" s="18">
        <f t="shared" si="0"/>
        <v>25191107608.517376</v>
      </c>
      <c r="G11" s="16"/>
    </row>
    <row r="12" spans="2:7" s="17" customFormat="1" ht="35.25" customHeight="1" x14ac:dyDescent="0.25">
      <c r="B12" s="18">
        <f>'Kiểm chứng tổng hưu trí'!C13</f>
        <v>59</v>
      </c>
      <c r="C12" s="18">
        <f t="shared" si="1"/>
        <v>25191107608.517376</v>
      </c>
      <c r="D12" s="18">
        <f>C12*'Tổng quan'!$C$3</f>
        <v>2519110760.8517375</v>
      </c>
      <c r="E12" s="18">
        <f>E11*(1+'Tổng quan'!$C$4)</f>
        <v>2306231097.1431594</v>
      </c>
      <c r="F12" s="18">
        <f t="shared" si="0"/>
        <v>25403987272.225956</v>
      </c>
      <c r="G12" s="16"/>
    </row>
    <row r="13" spans="2:7" s="17" customFormat="1" ht="35.25" customHeight="1" x14ac:dyDescent="0.25">
      <c r="B13" s="18">
        <f>'Kiểm chứng tổng hưu trí'!C14</f>
        <v>60</v>
      </c>
      <c r="C13" s="18">
        <f t="shared" si="1"/>
        <v>25403987272.225956</v>
      </c>
      <c r="D13" s="18">
        <f>C13*'Tổng quan'!$C$3</f>
        <v>2540398727.2225957</v>
      </c>
      <c r="E13" s="18">
        <f>E12*(1+'Tổng quan'!$C$4)</f>
        <v>2375418030.0574541</v>
      </c>
      <c r="F13" s="18">
        <f t="shared" si="0"/>
        <v>25568967969.391098</v>
      </c>
      <c r="G13" s="16"/>
    </row>
    <row r="14" spans="2:7" s="17" customFormat="1" ht="35.25" customHeight="1" x14ac:dyDescent="0.25">
      <c r="B14" s="18">
        <f>'Kiểm chứng tổng hưu trí'!C15</f>
        <v>61</v>
      </c>
      <c r="C14" s="18">
        <f t="shared" si="1"/>
        <v>25568967969.391098</v>
      </c>
      <c r="D14" s="18">
        <f>C14*'Tổng quan'!$C$3</f>
        <v>2556896796.9391098</v>
      </c>
      <c r="E14" s="18">
        <f>E13*(1+'Tổng quan'!$C$4)</f>
        <v>2446680570.959178</v>
      </c>
      <c r="F14" s="18">
        <f t="shared" si="0"/>
        <v>25679184195.371029</v>
      </c>
      <c r="G14" s="16"/>
    </row>
    <row r="15" spans="2:7" s="17" customFormat="1" ht="35.25" customHeight="1" x14ac:dyDescent="0.25">
      <c r="B15" s="18">
        <f>'Kiểm chứng tổng hưu trí'!C16</f>
        <v>62</v>
      </c>
      <c r="C15" s="18">
        <f t="shared" si="1"/>
        <v>25679184195.371029</v>
      </c>
      <c r="D15" s="18">
        <f>C15*'Tổng quan'!$C$3</f>
        <v>2567918419.5371032</v>
      </c>
      <c r="E15" s="18">
        <f>E14*(1+'Tổng quan'!$C$4)</f>
        <v>2520080988.0879536</v>
      </c>
      <c r="F15" s="18">
        <f t="shared" si="0"/>
        <v>25727021626.820175</v>
      </c>
      <c r="G15" s="16"/>
    </row>
    <row r="16" spans="2:7" s="17" customFormat="1" ht="35.25" customHeight="1" x14ac:dyDescent="0.25">
      <c r="B16" s="18">
        <f>'Kiểm chứng tổng hưu trí'!C17</f>
        <v>63</v>
      </c>
      <c r="C16" s="18">
        <f t="shared" si="1"/>
        <v>25727021626.820175</v>
      </c>
      <c r="D16" s="18">
        <f>C16*'Tổng quan'!$C$3</f>
        <v>2572702162.6820178</v>
      </c>
      <c r="E16" s="18">
        <f>E15*(1+'Tổng quan'!$C$4)</f>
        <v>2595683417.7305923</v>
      </c>
      <c r="F16" s="18">
        <f t="shared" si="0"/>
        <v>25704040371.771603</v>
      </c>
      <c r="G16" s="16"/>
    </row>
    <row r="17" spans="2:7" s="17" customFormat="1" ht="35.25" customHeight="1" x14ac:dyDescent="0.25">
      <c r="B17" s="18">
        <f>'Kiểm chứng tổng hưu trí'!C18</f>
        <v>64</v>
      </c>
      <c r="C17" s="18">
        <f t="shared" si="1"/>
        <v>25704040371.771603</v>
      </c>
      <c r="D17" s="18">
        <f>C17*'Tổng quan'!$C$3</f>
        <v>2570404037.1771603</v>
      </c>
      <c r="E17" s="18">
        <f>E16*(1+'Tổng quan'!$C$4)</f>
        <v>2673553920.2625103</v>
      </c>
      <c r="F17" s="18">
        <f t="shared" si="0"/>
        <v>25600890488.686249</v>
      </c>
      <c r="G17" s="16"/>
    </row>
    <row r="18" spans="2:7" s="17" customFormat="1" ht="35.25" customHeight="1" x14ac:dyDescent="0.25">
      <c r="B18" s="18">
        <f>'Kiểm chứng tổng hưu trí'!C19</f>
        <v>65</v>
      </c>
      <c r="C18" s="18">
        <f t="shared" si="1"/>
        <v>25600890488.686249</v>
      </c>
      <c r="D18" s="18">
        <f>C18*'Tổng quan'!$C$3</f>
        <v>2560089048.8686252</v>
      </c>
      <c r="E18" s="18">
        <f>E17*(1+'Tổng quan'!$C$4)</f>
        <v>2753760537.8703856</v>
      </c>
      <c r="F18" s="18">
        <f>C18+D18-E18</f>
        <v>25407218999.68449</v>
      </c>
      <c r="G18" s="16"/>
    </row>
    <row r="19" spans="2:7" s="17" customFormat="1" ht="35.25" customHeight="1" x14ac:dyDescent="0.25">
      <c r="B19" s="18">
        <f>'Kiểm chứng tổng hưu trí'!C20</f>
        <v>66</v>
      </c>
      <c r="C19" s="18">
        <f t="shared" si="1"/>
        <v>25407218999.68449</v>
      </c>
      <c r="D19" s="18">
        <f>C19*'Tổng quan'!$C$3</f>
        <v>2540721899.9684491</v>
      </c>
      <c r="E19" s="18">
        <f>E18*(1+'Tổng quan'!$C$4)</f>
        <v>2836373354.0064974</v>
      </c>
      <c r="F19" s="18">
        <f t="shared" ref="F19:F33" si="2">C19+D19-E19</f>
        <v>25111567545.646442</v>
      </c>
      <c r="G19" s="16"/>
    </row>
    <row r="20" spans="2:7" s="17" customFormat="1" ht="35.25" customHeight="1" x14ac:dyDescent="0.25">
      <c r="B20" s="18">
        <f>'Kiểm chứng tổng hưu trí'!C21</f>
        <v>67</v>
      </c>
      <c r="C20" s="18">
        <f t="shared" si="1"/>
        <v>25111567545.646442</v>
      </c>
      <c r="D20" s="18">
        <f>C20*'Tổng quan'!$C$3</f>
        <v>2511156754.5646443</v>
      </c>
      <c r="E20" s="18">
        <f>E19*(1+'Tổng quan'!$C$4)</f>
        <v>2921464554.6266923</v>
      </c>
      <c r="F20" s="18">
        <f t="shared" si="2"/>
        <v>24701259745.584393</v>
      </c>
      <c r="G20" s="16"/>
    </row>
    <row r="21" spans="2:7" s="17" customFormat="1" ht="35.25" customHeight="1" x14ac:dyDescent="0.25">
      <c r="B21" s="18">
        <f>'Kiểm chứng tổng hưu trí'!C22</f>
        <v>68</v>
      </c>
      <c r="C21" s="18">
        <f t="shared" si="1"/>
        <v>24701259745.584393</v>
      </c>
      <c r="D21" s="18">
        <f>C21*'Tổng quan'!$C$3</f>
        <v>2470125974.5584393</v>
      </c>
      <c r="E21" s="18">
        <f>E20*(1+'Tổng quan'!$C$4)</f>
        <v>3009108491.2654929</v>
      </c>
      <c r="F21" s="18">
        <f t="shared" si="2"/>
        <v>24162277228.877338</v>
      </c>
      <c r="G21" s="16"/>
    </row>
    <row r="22" spans="2:7" s="17" customFormat="1" ht="35.25" customHeight="1" x14ac:dyDescent="0.25">
      <c r="B22" s="18">
        <f>'Kiểm chứng tổng hưu trí'!C23</f>
        <v>69</v>
      </c>
      <c r="C22" s="18">
        <f t="shared" si="1"/>
        <v>24162277228.877338</v>
      </c>
      <c r="D22" s="18">
        <f>C22*'Tổng quan'!$C$3</f>
        <v>2416227722.8877339</v>
      </c>
      <c r="E22" s="18">
        <f>E21*(1+'Tổng quan'!$C$4)</f>
        <v>3099381746.0034575</v>
      </c>
      <c r="F22" s="18">
        <f t="shared" si="2"/>
        <v>23479123205.761616</v>
      </c>
      <c r="G22" s="16"/>
    </row>
    <row r="23" spans="2:7" s="17" customFormat="1" ht="35.25" customHeight="1" x14ac:dyDescent="0.25">
      <c r="B23" s="18">
        <f>'Kiểm chứng tổng hưu trí'!C24</f>
        <v>70</v>
      </c>
      <c r="C23" s="18">
        <f t="shared" si="1"/>
        <v>23479123205.761616</v>
      </c>
      <c r="D23" s="18">
        <f>C23*'Tổng quan'!$C$3</f>
        <v>2347912320.5761619</v>
      </c>
      <c r="E23" s="18">
        <f>E22*(1+'Tổng quan'!$C$4)</f>
        <v>3192363198.3835611</v>
      </c>
      <c r="F23" s="18">
        <f t="shared" si="2"/>
        <v>22634672327.954216</v>
      </c>
      <c r="G23" s="16"/>
    </row>
    <row r="24" spans="2:7" x14ac:dyDescent="0.45">
      <c r="B24" s="18">
        <f>'Kiểm chứng tổng hưu trí'!C25</f>
        <v>71</v>
      </c>
      <c r="C24" s="18">
        <f t="shared" si="1"/>
        <v>22634672327.954216</v>
      </c>
      <c r="D24" s="18">
        <f>C24*'Tổng quan'!$C$3</f>
        <v>2263467232.7954216</v>
      </c>
      <c r="E24" s="18">
        <f>E23*(1+'Tổng quan'!$C$4)</f>
        <v>3288134094.3350682</v>
      </c>
      <c r="F24" s="18">
        <f t="shared" si="2"/>
        <v>21610005466.41457</v>
      </c>
    </row>
    <row r="25" spans="2:7" x14ac:dyDescent="0.45">
      <c r="B25" s="18">
        <f>'Kiểm chứng tổng hưu trí'!C26</f>
        <v>72</v>
      </c>
      <c r="C25" s="18">
        <f t="shared" si="1"/>
        <v>21610005466.41457</v>
      </c>
      <c r="D25" s="18">
        <f>C25*'Tổng quan'!$C$3</f>
        <v>2161000546.6414571</v>
      </c>
      <c r="E25" s="18">
        <f>E24*(1+'Tổng quan'!$C$4)</f>
        <v>3386778117.1651201</v>
      </c>
      <c r="F25" s="18">
        <f t="shared" si="2"/>
        <v>20384227895.890907</v>
      </c>
    </row>
    <row r="26" spans="2:7" x14ac:dyDescent="0.45">
      <c r="B26" s="18">
        <f>'Kiểm chứng tổng hưu trí'!C27</f>
        <v>73</v>
      </c>
      <c r="C26" s="18">
        <f t="shared" si="1"/>
        <v>20384227895.890907</v>
      </c>
      <c r="D26" s="18">
        <f>C26*'Tổng quan'!$C$3</f>
        <v>2038422789.5890908</v>
      </c>
      <c r="E26" s="18">
        <f>E25*(1+'Tổng quan'!$C$4)</f>
        <v>3488381460.6800737</v>
      </c>
      <c r="F26" s="18">
        <f t="shared" si="2"/>
        <v>18934269224.799927</v>
      </c>
    </row>
    <row r="27" spans="2:7" x14ac:dyDescent="0.45">
      <c r="B27" s="18">
        <f>'Kiểm chứng tổng hưu trí'!C28</f>
        <v>74</v>
      </c>
      <c r="C27" s="18">
        <f t="shared" si="1"/>
        <v>18934269224.799927</v>
      </c>
      <c r="D27" s="18">
        <f>C27*'Tổng quan'!$C$3</f>
        <v>1893426922.4799929</v>
      </c>
      <c r="E27" s="18">
        <f>E26*(1+'Tổng quan'!$C$4)</f>
        <v>3593032904.5004759</v>
      </c>
      <c r="F27" s="18">
        <f t="shared" si="2"/>
        <v>17234663242.779442</v>
      </c>
    </row>
    <row r="28" spans="2:7" x14ac:dyDescent="0.45">
      <c r="B28" s="18">
        <f>'Kiểm chứng tổng hưu trí'!C29</f>
        <v>75</v>
      </c>
      <c r="C28" s="18">
        <f t="shared" si="1"/>
        <v>17234663242.779442</v>
      </c>
      <c r="D28" s="18">
        <f>C28*'Tổng quan'!$C$3</f>
        <v>1723466324.2779443</v>
      </c>
      <c r="E28" s="18">
        <f>E27*(1+'Tổng quan'!$C$4)</f>
        <v>3700823891.6354904</v>
      </c>
      <c r="F28" s="18">
        <f t="shared" si="2"/>
        <v>15257305675.421894</v>
      </c>
    </row>
    <row r="29" spans="2:7" x14ac:dyDescent="0.45">
      <c r="B29" s="18">
        <f>'Kiểm chứng tổng hưu trí'!C30</f>
        <v>76</v>
      </c>
      <c r="C29" s="18">
        <f t="shared" si="1"/>
        <v>15257305675.421894</v>
      </c>
      <c r="D29" s="18">
        <f>C29*'Tổng quan'!$C$3</f>
        <v>1525730567.5421896</v>
      </c>
      <c r="E29" s="18">
        <f>E28*(1+'Tổng quan'!$C$4)</f>
        <v>3811848608.3845553</v>
      </c>
      <c r="F29" s="18">
        <f t="shared" si="2"/>
        <v>12971187634.579529</v>
      </c>
    </row>
    <row r="30" spans="2:7" x14ac:dyDescent="0.45">
      <c r="B30" s="18">
        <f>'Kiểm chứng tổng hưu trí'!C31</f>
        <v>77</v>
      </c>
      <c r="C30" s="18">
        <f t="shared" si="1"/>
        <v>12971187634.579529</v>
      </c>
      <c r="D30" s="18">
        <f>C30*'Tổng quan'!$C$3</f>
        <v>1297118763.457953</v>
      </c>
      <c r="E30" s="18">
        <f>E29*(1+'Tổng quan'!$C$4)</f>
        <v>3926204066.6360922</v>
      </c>
      <c r="F30" s="18">
        <f t="shared" si="2"/>
        <v>10342102331.40139</v>
      </c>
    </row>
    <row r="31" spans="2:7" x14ac:dyDescent="0.45">
      <c r="B31" s="18">
        <f>'Kiểm chứng tổng hưu trí'!C32</f>
        <v>78</v>
      </c>
      <c r="C31" s="18">
        <f t="shared" si="1"/>
        <v>10342102331.40139</v>
      </c>
      <c r="D31" s="18">
        <f>C31*'Tổng quan'!$C$3</f>
        <v>1034210233.1401391</v>
      </c>
      <c r="E31" s="18">
        <f>E30*(1+'Tổng quan'!$C$4)</f>
        <v>4043990188.6351752</v>
      </c>
      <c r="F31" s="18">
        <f t="shared" si="2"/>
        <v>7332322375.906353</v>
      </c>
    </row>
    <row r="32" spans="2:7" x14ac:dyDescent="0.45">
      <c r="B32" s="18">
        <f>'Kiểm chứng tổng hưu trí'!C33</f>
        <v>79</v>
      </c>
      <c r="C32" s="18">
        <f t="shared" si="1"/>
        <v>7332322375.906353</v>
      </c>
      <c r="D32" s="18">
        <f>C32*'Tổng quan'!$C$3</f>
        <v>733232237.5906353</v>
      </c>
      <c r="E32" s="18">
        <f>E31*(1+'Tổng quan'!$C$4)</f>
        <v>4165309894.2942305</v>
      </c>
      <c r="F32" s="18">
        <f t="shared" si="2"/>
        <v>3900244719.2027578</v>
      </c>
    </row>
    <row r="33" spans="2:6" x14ac:dyDescent="0.45">
      <c r="B33" s="18">
        <f>'Kiểm chứng tổng hưu trí'!C34</f>
        <v>80</v>
      </c>
      <c r="C33" s="18">
        <f t="shared" si="1"/>
        <v>3900244719.2027578</v>
      </c>
      <c r="D33" s="18">
        <f>C33*'Tổng quan'!$C$3</f>
        <v>390024471.92027581</v>
      </c>
      <c r="E33" s="18">
        <f>E32*(1+'Tổng quan'!$C$4)</f>
        <v>4290269191.1230574</v>
      </c>
      <c r="F33" s="20">
        <f t="shared" si="2"/>
        <v>-2.384185791015625E-5</v>
      </c>
    </row>
  </sheetData>
  <mergeCells count="1">
    <mergeCell ref="B2:F2"/>
  </mergeCells>
  <conditionalFormatting sqref="B4:F32 B33:E33">
    <cfRule type="expression" dxfId="16" priority="1">
      <formula>MOD(ROW(),2)&gt;0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topLeftCell="A25" zoomScale="85" zoomScaleNormal="85" workbookViewId="0">
      <selection activeCell="F46" sqref="F46"/>
    </sheetView>
  </sheetViews>
  <sheetFormatPr defaultRowHeight="21" customHeight="1" x14ac:dyDescent="0.25"/>
  <cols>
    <col min="1" max="1" width="23.7109375" style="23" customWidth="1"/>
    <col min="2" max="2" width="16.5703125" style="33" customWidth="1"/>
    <col min="3" max="3" width="19" style="24" customWidth="1"/>
    <col min="4" max="4" width="15.7109375" style="24" customWidth="1"/>
    <col min="5" max="5" width="27.42578125" style="25" customWidth="1"/>
    <col min="6" max="6" width="31.28515625" style="25" customWidth="1"/>
    <col min="7" max="7" width="9.5703125" style="23" customWidth="1"/>
    <col min="8" max="12" width="9.140625" style="23"/>
    <col min="13" max="13" width="27.140625" style="23" customWidth="1"/>
    <col min="14" max="16384" width="9.140625" style="23"/>
  </cols>
  <sheetData>
    <row r="1" spans="2:13" ht="34.5" customHeight="1" x14ac:dyDescent="0.25"/>
    <row r="2" spans="2:13" ht="36.75" customHeight="1" x14ac:dyDescent="0.25">
      <c r="B2" s="62" t="s">
        <v>37</v>
      </c>
      <c r="C2" s="62"/>
      <c r="D2" s="62"/>
      <c r="E2" s="62"/>
      <c r="F2" s="62"/>
      <c r="H2" s="61" t="s">
        <v>51</v>
      </c>
      <c r="I2" s="61"/>
      <c r="J2" s="61"/>
      <c r="K2" s="61"/>
      <c r="L2" s="61"/>
      <c r="M2" s="61"/>
    </row>
    <row r="3" spans="2:13" ht="24.75" customHeight="1" x14ac:dyDescent="0.25">
      <c r="B3" s="63" t="s">
        <v>39</v>
      </c>
      <c r="C3" s="63"/>
      <c r="D3" s="63"/>
      <c r="E3" s="63"/>
      <c r="F3" s="39">
        <v>0.05</v>
      </c>
      <c r="H3" s="59" t="s">
        <v>52</v>
      </c>
      <c r="I3" s="59"/>
      <c r="J3" s="59"/>
      <c r="K3" s="59"/>
      <c r="L3" s="59"/>
      <c r="M3" s="59"/>
    </row>
    <row r="4" spans="2:13" ht="50.25" customHeight="1" x14ac:dyDescent="0.25">
      <c r="B4" s="27" t="s">
        <v>10</v>
      </c>
      <c r="C4" s="26" t="s">
        <v>11</v>
      </c>
      <c r="D4" s="26" t="s">
        <v>38</v>
      </c>
      <c r="E4" s="28" t="s">
        <v>13</v>
      </c>
      <c r="F4" s="28" t="s">
        <v>14</v>
      </c>
      <c r="H4" s="60" t="s">
        <v>53</v>
      </c>
      <c r="I4" s="60"/>
      <c r="J4" s="60"/>
      <c r="K4" s="60"/>
      <c r="L4" s="60"/>
      <c r="M4" s="60"/>
    </row>
    <row r="5" spans="2:13" ht="21" customHeight="1" x14ac:dyDescent="0.25">
      <c r="B5" s="33">
        <v>2000</v>
      </c>
      <c r="C5" s="24">
        <v>1</v>
      </c>
      <c r="D5" s="24">
        <v>23</v>
      </c>
      <c r="E5" s="25">
        <f t="shared" ref="E5:E11" si="0">E6-(E6*$F$3)</f>
        <v>4539192.4246093752</v>
      </c>
      <c r="F5" s="25">
        <f>IF(E5&gt;=29800000,12*29800000,12*E5)</f>
        <v>54470309.095312506</v>
      </c>
      <c r="H5" s="59" t="s">
        <v>54</v>
      </c>
      <c r="I5" s="59"/>
      <c r="J5" s="59"/>
      <c r="K5" s="59"/>
      <c r="L5" s="59"/>
      <c r="M5" s="59"/>
    </row>
    <row r="6" spans="2:13" ht="21" customHeight="1" x14ac:dyDescent="0.25">
      <c r="B6" s="33">
        <v>2001</v>
      </c>
      <c r="C6" s="24">
        <v>2</v>
      </c>
      <c r="D6" s="24">
        <v>24</v>
      </c>
      <c r="E6" s="25">
        <f t="shared" si="0"/>
        <v>4778097.2890625</v>
      </c>
      <c r="F6" s="25">
        <f t="shared" ref="F6:F42" si="1">IF(E6&gt;=29800000,12*29800000,12*E6)</f>
        <v>57337167.46875</v>
      </c>
      <c r="H6" s="59" t="s">
        <v>55</v>
      </c>
      <c r="I6" s="59"/>
      <c r="J6" s="59"/>
      <c r="K6" s="59"/>
      <c r="L6" s="59"/>
      <c r="M6" s="59"/>
    </row>
    <row r="7" spans="2:13" ht="21" customHeight="1" x14ac:dyDescent="0.25">
      <c r="B7" s="33">
        <v>2002</v>
      </c>
      <c r="C7" s="24">
        <v>3</v>
      </c>
      <c r="D7" s="24">
        <v>25</v>
      </c>
      <c r="E7" s="25">
        <f t="shared" si="0"/>
        <v>5029576.09375</v>
      </c>
      <c r="F7" s="25">
        <f t="shared" si="1"/>
        <v>60354913.125</v>
      </c>
      <c r="H7" s="59" t="s">
        <v>56</v>
      </c>
      <c r="I7" s="59"/>
      <c r="J7" s="59"/>
      <c r="K7" s="59"/>
      <c r="L7" s="59"/>
      <c r="M7" s="59"/>
    </row>
    <row r="8" spans="2:13" ht="21" customHeight="1" x14ac:dyDescent="0.25">
      <c r="B8" s="33">
        <v>2003</v>
      </c>
      <c r="C8" s="24">
        <v>4</v>
      </c>
      <c r="D8" s="24">
        <v>26</v>
      </c>
      <c r="E8" s="25">
        <f t="shared" si="0"/>
        <v>5294290.625</v>
      </c>
      <c r="F8" s="25">
        <f t="shared" si="1"/>
        <v>63531487.5</v>
      </c>
      <c r="H8" s="60" t="s">
        <v>57</v>
      </c>
      <c r="I8" s="60"/>
      <c r="J8" s="60"/>
      <c r="K8" s="60"/>
      <c r="L8" s="60"/>
      <c r="M8" s="60"/>
    </row>
    <row r="9" spans="2:13" ht="21" customHeight="1" x14ac:dyDescent="0.25">
      <c r="B9" s="33">
        <v>2004</v>
      </c>
      <c r="C9" s="24">
        <v>5</v>
      </c>
      <c r="D9" s="24">
        <v>27</v>
      </c>
      <c r="E9" s="25">
        <f t="shared" si="0"/>
        <v>5572937.5</v>
      </c>
      <c r="F9" s="25">
        <f t="shared" si="1"/>
        <v>66875250</v>
      </c>
      <c r="H9" s="59"/>
      <c r="I9" s="59"/>
      <c r="J9" s="59"/>
      <c r="K9" s="59"/>
      <c r="L9" s="59"/>
      <c r="M9" s="59"/>
    </row>
    <row r="10" spans="2:13" ht="21" customHeight="1" x14ac:dyDescent="0.25">
      <c r="B10" s="33">
        <v>2005</v>
      </c>
      <c r="C10" s="24">
        <v>6</v>
      </c>
      <c r="D10" s="24">
        <v>28</v>
      </c>
      <c r="E10" s="25">
        <f t="shared" si="0"/>
        <v>5866250</v>
      </c>
      <c r="F10" s="25">
        <f t="shared" si="1"/>
        <v>70395000</v>
      </c>
      <c r="H10" s="59"/>
      <c r="I10" s="59"/>
      <c r="J10" s="59"/>
      <c r="K10" s="59"/>
      <c r="L10" s="59"/>
      <c r="M10" s="59"/>
    </row>
    <row r="11" spans="2:13" ht="21" customHeight="1" x14ac:dyDescent="0.25">
      <c r="B11" s="33">
        <v>2006</v>
      </c>
      <c r="C11" s="24">
        <v>7</v>
      </c>
      <c r="D11" s="24">
        <v>29</v>
      </c>
      <c r="E11" s="25">
        <f t="shared" si="0"/>
        <v>6175000</v>
      </c>
      <c r="F11" s="25">
        <f t="shared" si="1"/>
        <v>74100000</v>
      </c>
      <c r="H11" s="59"/>
      <c r="I11" s="59"/>
      <c r="J11" s="59"/>
      <c r="K11" s="59"/>
      <c r="L11" s="59"/>
      <c r="M11" s="59"/>
    </row>
    <row r="12" spans="2:13" ht="21" customHeight="1" x14ac:dyDescent="0.25">
      <c r="B12" s="33">
        <v>2007</v>
      </c>
      <c r="C12" s="24">
        <v>8</v>
      </c>
      <c r="D12" s="24">
        <v>30</v>
      </c>
      <c r="E12" s="25">
        <v>6500000</v>
      </c>
      <c r="F12" s="25">
        <f t="shared" si="1"/>
        <v>78000000</v>
      </c>
      <c r="H12" s="59"/>
      <c r="I12" s="59"/>
      <c r="J12" s="59"/>
      <c r="K12" s="59"/>
      <c r="L12" s="59"/>
      <c r="M12" s="59"/>
    </row>
    <row r="13" spans="2:13" ht="21" customHeight="1" x14ac:dyDescent="0.25">
      <c r="B13" s="33">
        <v>2008</v>
      </c>
      <c r="C13" s="24">
        <v>9</v>
      </c>
      <c r="D13" s="24">
        <v>31</v>
      </c>
      <c r="E13" s="25">
        <f>E12*1.05</f>
        <v>6825000</v>
      </c>
      <c r="F13" s="25">
        <f t="shared" si="1"/>
        <v>81900000</v>
      </c>
      <c r="H13" s="59"/>
      <c r="I13" s="59"/>
      <c r="J13" s="59"/>
      <c r="K13" s="59"/>
      <c r="L13" s="59"/>
      <c r="M13" s="59"/>
    </row>
    <row r="14" spans="2:13" ht="21" customHeight="1" x14ac:dyDescent="0.25">
      <c r="B14" s="33">
        <v>2009</v>
      </c>
      <c r="C14" s="24">
        <v>10</v>
      </c>
      <c r="D14" s="24">
        <v>32</v>
      </c>
      <c r="E14" s="25">
        <f t="shared" ref="E14:E37" si="2">E13*1.05</f>
        <v>7166250</v>
      </c>
      <c r="F14" s="25">
        <f t="shared" si="1"/>
        <v>85995000</v>
      </c>
      <c r="H14" s="59"/>
      <c r="I14" s="59"/>
      <c r="J14" s="59"/>
      <c r="K14" s="59"/>
      <c r="L14" s="59"/>
      <c r="M14" s="59"/>
    </row>
    <row r="15" spans="2:13" ht="21" customHeight="1" x14ac:dyDescent="0.25">
      <c r="B15" s="33">
        <v>2010</v>
      </c>
      <c r="C15" s="24">
        <v>11</v>
      </c>
      <c r="D15" s="24">
        <v>33</v>
      </c>
      <c r="E15" s="25">
        <f t="shared" si="2"/>
        <v>7524562.5</v>
      </c>
      <c r="F15" s="25">
        <f t="shared" si="1"/>
        <v>90294750</v>
      </c>
      <c r="H15" s="52"/>
      <c r="I15" s="52"/>
      <c r="J15" s="52"/>
      <c r="K15" s="52"/>
      <c r="L15" s="52"/>
      <c r="M15" s="52"/>
    </row>
    <row r="16" spans="2:13" ht="21" customHeight="1" x14ac:dyDescent="0.25">
      <c r="B16" s="33">
        <v>2011</v>
      </c>
      <c r="C16" s="24">
        <v>12</v>
      </c>
      <c r="D16" s="24">
        <v>34</v>
      </c>
      <c r="E16" s="25">
        <f t="shared" si="2"/>
        <v>7900790.625</v>
      </c>
      <c r="F16" s="25">
        <f t="shared" si="1"/>
        <v>94809487.5</v>
      </c>
    </row>
    <row r="17" spans="2:6" ht="21" customHeight="1" x14ac:dyDescent="0.25">
      <c r="B17" s="33">
        <v>2012</v>
      </c>
      <c r="C17" s="24">
        <v>13</v>
      </c>
      <c r="D17" s="24">
        <v>35</v>
      </c>
      <c r="E17" s="25">
        <f t="shared" si="2"/>
        <v>8295830.15625</v>
      </c>
      <c r="F17" s="25">
        <f t="shared" si="1"/>
        <v>99549961.875</v>
      </c>
    </row>
    <row r="18" spans="2:6" ht="21" customHeight="1" x14ac:dyDescent="0.25">
      <c r="B18" s="33">
        <v>2013</v>
      </c>
      <c r="C18" s="24">
        <v>14</v>
      </c>
      <c r="D18" s="24">
        <v>36</v>
      </c>
      <c r="E18" s="25">
        <f t="shared" si="2"/>
        <v>8710621.6640625</v>
      </c>
      <c r="F18" s="25">
        <f t="shared" si="1"/>
        <v>104527459.96875</v>
      </c>
    </row>
    <row r="19" spans="2:6" ht="21" customHeight="1" x14ac:dyDescent="0.25">
      <c r="B19" s="33">
        <v>2014</v>
      </c>
      <c r="C19" s="24">
        <v>15</v>
      </c>
      <c r="D19" s="24">
        <v>37</v>
      </c>
      <c r="E19" s="25">
        <f t="shared" si="2"/>
        <v>9146152.7472656257</v>
      </c>
      <c r="F19" s="25">
        <f t="shared" si="1"/>
        <v>109753832.96718751</v>
      </c>
    </row>
    <row r="20" spans="2:6" ht="21" customHeight="1" x14ac:dyDescent="0.25">
      <c r="B20" s="33">
        <v>2015</v>
      </c>
      <c r="C20" s="24">
        <v>16</v>
      </c>
      <c r="D20" s="24">
        <v>38</v>
      </c>
      <c r="E20" s="25">
        <f t="shared" si="2"/>
        <v>9603460.3846289068</v>
      </c>
      <c r="F20" s="25">
        <f t="shared" si="1"/>
        <v>115241524.61554688</v>
      </c>
    </row>
    <row r="21" spans="2:6" ht="21" customHeight="1" x14ac:dyDescent="0.25">
      <c r="B21" s="33">
        <v>2016</v>
      </c>
      <c r="C21" s="24">
        <v>17</v>
      </c>
      <c r="D21" s="24">
        <v>39</v>
      </c>
      <c r="E21" s="25">
        <f t="shared" si="2"/>
        <v>10083633.403860353</v>
      </c>
      <c r="F21" s="25">
        <f t="shared" si="1"/>
        <v>121003600.84632424</v>
      </c>
    </row>
    <row r="22" spans="2:6" ht="21" customHeight="1" x14ac:dyDescent="0.25">
      <c r="B22" s="33">
        <v>2017</v>
      </c>
      <c r="C22" s="24">
        <v>18</v>
      </c>
      <c r="D22" s="24">
        <v>40</v>
      </c>
      <c r="E22" s="25">
        <f t="shared" si="2"/>
        <v>10587815.074053371</v>
      </c>
      <c r="F22" s="25">
        <f t="shared" si="1"/>
        <v>127053780.88864046</v>
      </c>
    </row>
    <row r="23" spans="2:6" ht="21" customHeight="1" x14ac:dyDescent="0.25">
      <c r="B23" s="33">
        <v>2018</v>
      </c>
      <c r="C23" s="24">
        <v>19</v>
      </c>
      <c r="D23" s="24">
        <v>41</v>
      </c>
      <c r="E23" s="25">
        <f t="shared" si="2"/>
        <v>11117205.82775604</v>
      </c>
      <c r="F23" s="25">
        <f t="shared" si="1"/>
        <v>133406469.93307248</v>
      </c>
    </row>
    <row r="24" spans="2:6" ht="21" customHeight="1" x14ac:dyDescent="0.25">
      <c r="B24" s="33">
        <v>2019</v>
      </c>
      <c r="C24" s="24">
        <v>20</v>
      </c>
      <c r="D24" s="24">
        <v>42</v>
      </c>
      <c r="E24" s="25">
        <f t="shared" si="2"/>
        <v>11673066.119143842</v>
      </c>
      <c r="F24" s="25">
        <f t="shared" si="1"/>
        <v>140076793.42972609</v>
      </c>
    </row>
    <row r="25" spans="2:6" ht="21" customHeight="1" x14ac:dyDescent="0.25">
      <c r="B25" s="33">
        <v>2020</v>
      </c>
      <c r="C25" s="24">
        <v>21</v>
      </c>
      <c r="D25" s="24">
        <v>43</v>
      </c>
      <c r="E25" s="25">
        <f t="shared" si="2"/>
        <v>12256719.425101034</v>
      </c>
      <c r="F25" s="25">
        <f t="shared" si="1"/>
        <v>147080633.10121241</v>
      </c>
    </row>
    <row r="26" spans="2:6" ht="21" customHeight="1" x14ac:dyDescent="0.25">
      <c r="B26" s="33">
        <v>2021</v>
      </c>
      <c r="C26" s="24">
        <v>22</v>
      </c>
      <c r="D26" s="24">
        <v>44</v>
      </c>
      <c r="E26" s="25">
        <f t="shared" si="2"/>
        <v>12869555.396356087</v>
      </c>
      <c r="F26" s="25">
        <f t="shared" si="1"/>
        <v>154434664.75627303</v>
      </c>
    </row>
    <row r="27" spans="2:6" ht="21" customHeight="1" x14ac:dyDescent="0.25">
      <c r="B27" s="33">
        <v>2022</v>
      </c>
      <c r="C27" s="24">
        <v>23</v>
      </c>
      <c r="D27" s="24">
        <v>45</v>
      </c>
      <c r="E27" s="25">
        <f t="shared" si="2"/>
        <v>13513033.166173892</v>
      </c>
      <c r="F27" s="25">
        <f t="shared" si="1"/>
        <v>162156397.99408671</v>
      </c>
    </row>
    <row r="28" spans="2:6" ht="21" customHeight="1" x14ac:dyDescent="0.25">
      <c r="B28" s="33">
        <v>2023</v>
      </c>
      <c r="C28" s="24">
        <v>24</v>
      </c>
      <c r="D28" s="24">
        <v>46</v>
      </c>
      <c r="E28" s="25">
        <f t="shared" si="2"/>
        <v>14188684.824482588</v>
      </c>
      <c r="F28" s="25">
        <f t="shared" si="1"/>
        <v>170264217.89379105</v>
      </c>
    </row>
    <row r="29" spans="2:6" ht="21" customHeight="1" x14ac:dyDescent="0.25">
      <c r="B29" s="33">
        <v>2024</v>
      </c>
      <c r="C29" s="24">
        <v>25</v>
      </c>
      <c r="D29" s="24">
        <v>47</v>
      </c>
      <c r="E29" s="25">
        <f t="shared" si="2"/>
        <v>14898119.065706719</v>
      </c>
      <c r="F29" s="25">
        <f t="shared" si="1"/>
        <v>178777428.78848064</v>
      </c>
    </row>
    <row r="30" spans="2:6" ht="21" customHeight="1" x14ac:dyDescent="0.25">
      <c r="B30" s="33">
        <v>2025</v>
      </c>
      <c r="C30" s="24">
        <v>26</v>
      </c>
      <c r="D30" s="24">
        <v>48</v>
      </c>
      <c r="E30" s="25">
        <f t="shared" si="2"/>
        <v>15643025.018992055</v>
      </c>
      <c r="F30" s="25">
        <f t="shared" si="1"/>
        <v>187716300.22790468</v>
      </c>
    </row>
    <row r="31" spans="2:6" ht="21" customHeight="1" x14ac:dyDescent="0.25">
      <c r="B31" s="33">
        <v>2026</v>
      </c>
      <c r="C31" s="24">
        <v>27</v>
      </c>
      <c r="D31" s="24">
        <v>49</v>
      </c>
      <c r="E31" s="25">
        <f t="shared" si="2"/>
        <v>16425176.269941658</v>
      </c>
      <c r="F31" s="25">
        <f t="shared" si="1"/>
        <v>197102115.23929989</v>
      </c>
    </row>
    <row r="32" spans="2:6" ht="21" customHeight="1" x14ac:dyDescent="0.25">
      <c r="B32" s="33">
        <v>2027</v>
      </c>
      <c r="C32" s="24">
        <v>28</v>
      </c>
      <c r="D32" s="24">
        <v>50</v>
      </c>
      <c r="E32" s="25">
        <f t="shared" si="2"/>
        <v>17246435.083438743</v>
      </c>
      <c r="F32" s="25">
        <f t="shared" si="1"/>
        <v>206957221.00126493</v>
      </c>
    </row>
    <row r="33" spans="2:7" ht="21" customHeight="1" x14ac:dyDescent="0.25">
      <c r="B33" s="33">
        <v>2028</v>
      </c>
      <c r="C33" s="24">
        <v>29</v>
      </c>
      <c r="D33" s="24">
        <v>51</v>
      </c>
      <c r="E33" s="25">
        <f t="shared" si="2"/>
        <v>18108756.837610681</v>
      </c>
      <c r="F33" s="25">
        <f t="shared" si="1"/>
        <v>217305082.05132818</v>
      </c>
    </row>
    <row r="34" spans="2:7" ht="21" customHeight="1" x14ac:dyDescent="0.25">
      <c r="B34" s="33">
        <v>2029</v>
      </c>
      <c r="C34" s="24">
        <v>30</v>
      </c>
      <c r="D34" s="24">
        <v>52</v>
      </c>
      <c r="E34" s="25">
        <f t="shared" si="2"/>
        <v>19014194.679491214</v>
      </c>
      <c r="F34" s="25">
        <f t="shared" si="1"/>
        <v>228170336.15389457</v>
      </c>
    </row>
    <row r="35" spans="2:7" ht="21" customHeight="1" x14ac:dyDescent="0.25">
      <c r="B35" s="33">
        <v>2030</v>
      </c>
      <c r="C35" s="24">
        <v>31</v>
      </c>
      <c r="D35" s="24">
        <v>53</v>
      </c>
      <c r="E35" s="25">
        <f t="shared" si="2"/>
        <v>19964904.413465776</v>
      </c>
      <c r="F35" s="25">
        <f t="shared" si="1"/>
        <v>239578852.96158931</v>
      </c>
    </row>
    <row r="36" spans="2:7" ht="21" customHeight="1" x14ac:dyDescent="0.25">
      <c r="B36" s="33">
        <v>2031</v>
      </c>
      <c r="C36" s="24">
        <v>32</v>
      </c>
      <c r="D36" s="24">
        <v>54</v>
      </c>
      <c r="E36" s="25">
        <f t="shared" si="2"/>
        <v>20963149.634139065</v>
      </c>
      <c r="F36" s="25">
        <f t="shared" si="1"/>
        <v>251557795.60966879</v>
      </c>
    </row>
    <row r="37" spans="2:7" ht="21" customHeight="1" x14ac:dyDescent="0.25">
      <c r="B37" s="33">
        <v>2032</v>
      </c>
      <c r="C37" s="24">
        <v>33</v>
      </c>
      <c r="D37" s="24">
        <v>55</v>
      </c>
      <c r="E37" s="25">
        <f t="shared" si="2"/>
        <v>22011307.115846019</v>
      </c>
      <c r="F37" s="25">
        <f t="shared" si="1"/>
        <v>264135685.39015222</v>
      </c>
    </row>
    <row r="38" spans="2:7" ht="21" hidden="1" customHeight="1" x14ac:dyDescent="0.25">
      <c r="B38" s="33">
        <v>2033</v>
      </c>
      <c r="C38" s="24">
        <v>34</v>
      </c>
      <c r="D38" s="24">
        <v>56</v>
      </c>
      <c r="F38" s="25">
        <f t="shared" si="1"/>
        <v>0</v>
      </c>
    </row>
    <row r="39" spans="2:7" ht="21" hidden="1" customHeight="1" x14ac:dyDescent="0.25">
      <c r="B39" s="33">
        <v>2034</v>
      </c>
      <c r="C39" s="24">
        <v>35</v>
      </c>
      <c r="D39" s="24">
        <v>57</v>
      </c>
      <c r="F39" s="25">
        <f t="shared" si="1"/>
        <v>0</v>
      </c>
    </row>
    <row r="40" spans="2:7" ht="21" hidden="1" customHeight="1" x14ac:dyDescent="0.25">
      <c r="B40" s="33">
        <v>2035</v>
      </c>
      <c r="C40" s="24">
        <v>36</v>
      </c>
      <c r="D40" s="24">
        <v>58</v>
      </c>
      <c r="F40" s="25">
        <f t="shared" si="1"/>
        <v>0</v>
      </c>
    </row>
    <row r="41" spans="2:7" ht="21" hidden="1" customHeight="1" x14ac:dyDescent="0.25">
      <c r="B41" s="33">
        <v>2036</v>
      </c>
      <c r="C41" s="24">
        <v>37</v>
      </c>
      <c r="D41" s="24">
        <v>59</v>
      </c>
      <c r="F41" s="25">
        <f t="shared" si="1"/>
        <v>0</v>
      </c>
    </row>
    <row r="42" spans="2:7" ht="21" hidden="1" customHeight="1" x14ac:dyDescent="0.25">
      <c r="B42" s="33">
        <v>2037</v>
      </c>
      <c r="C42" s="24">
        <v>33</v>
      </c>
      <c r="D42" s="24">
        <v>60</v>
      </c>
      <c r="F42" s="25">
        <f t="shared" si="1"/>
        <v>0</v>
      </c>
    </row>
    <row r="43" spans="2:7" s="30" customFormat="1" ht="21" customHeight="1" x14ac:dyDescent="0.25">
      <c r="B43" s="67" t="s">
        <v>24</v>
      </c>
      <c r="C43" s="67"/>
      <c r="D43" s="67"/>
      <c r="E43" s="67"/>
      <c r="F43" s="35">
        <f>SUM(F5:F42)</f>
        <v>4433913520.3822565</v>
      </c>
      <c r="G43" s="34"/>
    </row>
    <row r="44" spans="2:7" s="30" customFormat="1" ht="21" customHeight="1" x14ac:dyDescent="0.25">
      <c r="B44" s="65" t="s">
        <v>42</v>
      </c>
      <c r="C44" s="65"/>
      <c r="D44" s="65"/>
      <c r="E44" s="65"/>
      <c r="F44" s="35">
        <f>F43/(C42*12)</f>
        <v>11196751.314096607</v>
      </c>
      <c r="G44" s="36"/>
    </row>
    <row r="45" spans="2:7" s="30" customFormat="1" ht="21" customHeight="1" x14ac:dyDescent="0.25">
      <c r="B45" s="66" t="s">
        <v>40</v>
      </c>
      <c r="C45" s="66"/>
      <c r="D45" s="66"/>
      <c r="E45" s="66"/>
      <c r="F45" s="37">
        <f>61%*F44</f>
        <v>6830018.3015989307</v>
      </c>
      <c r="G45" s="36"/>
    </row>
    <row r="46" spans="2:7" ht="21" customHeight="1" x14ac:dyDescent="0.25">
      <c r="B46" s="68" t="s">
        <v>15</v>
      </c>
      <c r="C46" s="68"/>
      <c r="D46" s="68"/>
      <c r="E46" s="68"/>
      <c r="F46" s="37">
        <f>F45*12</f>
        <v>81960219.619187176</v>
      </c>
      <c r="G46" s="38"/>
    </row>
    <row r="47" spans="2:7" ht="21" customHeight="1" x14ac:dyDescent="0.25">
      <c r="B47" s="64" t="s">
        <v>41</v>
      </c>
      <c r="C47" s="64"/>
      <c r="D47" s="64"/>
      <c r="E47" s="64"/>
      <c r="F47" s="40">
        <f>F46*'Tổng quan'!C11</f>
        <v>2458806588.5756154</v>
      </c>
      <c r="G47" s="38"/>
    </row>
  </sheetData>
  <mergeCells count="20">
    <mergeCell ref="B2:F2"/>
    <mergeCell ref="B3:E3"/>
    <mergeCell ref="B47:E47"/>
    <mergeCell ref="B44:E44"/>
    <mergeCell ref="B45:E45"/>
    <mergeCell ref="B43:E43"/>
    <mergeCell ref="B46:E46"/>
    <mergeCell ref="H2:M2"/>
    <mergeCell ref="H3:M3"/>
    <mergeCell ref="H4:M4"/>
    <mergeCell ref="H5:M5"/>
    <mergeCell ref="H6:M6"/>
    <mergeCell ref="H12:M12"/>
    <mergeCell ref="H13:M13"/>
    <mergeCell ref="H14:M14"/>
    <mergeCell ref="H7:M7"/>
    <mergeCell ref="H8:M8"/>
    <mergeCell ref="H9:M9"/>
    <mergeCell ref="H10:M10"/>
    <mergeCell ref="H11:M11"/>
  </mergeCells>
  <conditionalFormatting sqref="B43:D46 F43:F46">
    <cfRule type="expression" dxfId="15" priority="6">
      <formula>MOD(ROW(),2)&gt;0</formula>
    </cfRule>
  </conditionalFormatting>
  <conditionalFormatting sqref="B5:F42">
    <cfRule type="expression" dxfId="14" priority="2">
      <formula>MOD(ROW(),2)&gt;0</formula>
    </cfRule>
  </conditionalFormatting>
  <conditionalFormatting sqref="H3:M8">
    <cfRule type="expression" dxfId="13" priority="1">
      <formula>MOD(ROW(),2)&gt;0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C5C1FB3-422D-4601-B104-EB8A47DFFFDC}">
            <xm:f>NOT(ISERROR(SEARCH('Tổng quan'!$C$8,'Tổng quan'!D4)))</xm:f>
            <xm:f>'Tổng quan'!$C$8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D5:D42</xm:sqref>
        </x14:conditionalFormatting>
        <x14:conditionalFormatting xmlns:xm="http://schemas.microsoft.com/office/excel/2006/main">
          <x14:cfRule type="containsText" priority="3" operator="containsText" id="{2B571125-5E56-4B18-895D-03348D73199B}">
            <xm:f>NOT(ISERROR(SEARCH('Tổng quan'!$C$8,B1)))</xm:f>
            <xm:f>'Tổng quan'!$C$8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 B4:D1048576 B2:D2 F1:F4 F43:F1048576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showGridLines="0" topLeftCell="A10" zoomScale="85" zoomScaleNormal="85" workbookViewId="0">
      <selection activeCell="F18" sqref="F18"/>
    </sheetView>
  </sheetViews>
  <sheetFormatPr defaultColWidth="52.28515625" defaultRowHeight="18.75" x14ac:dyDescent="0.3"/>
  <cols>
    <col min="1" max="1" width="6.42578125" style="42" customWidth="1"/>
    <col min="2" max="2" width="22.7109375" style="41" customWidth="1"/>
    <col min="3" max="5" width="37.5703125" style="42" customWidth="1"/>
    <col min="6" max="16384" width="52.28515625" style="42"/>
  </cols>
  <sheetData>
    <row r="1" spans="2:5" ht="32.25" customHeight="1" x14ac:dyDescent="0.3">
      <c r="E1" s="43"/>
    </row>
    <row r="2" spans="2:5" ht="33" customHeight="1" x14ac:dyDescent="0.3">
      <c r="B2" s="69" t="s">
        <v>43</v>
      </c>
      <c r="C2" s="69"/>
      <c r="D2" s="69"/>
      <c r="E2" s="69"/>
    </row>
    <row r="3" spans="2:5" ht="24" customHeight="1" x14ac:dyDescent="0.3">
      <c r="B3" s="70" t="s">
        <v>44</v>
      </c>
      <c r="C3" s="70"/>
      <c r="D3" s="70"/>
      <c r="E3" s="44">
        <f>'Tổng quan'!C21</f>
        <v>344836101.54204351</v>
      </c>
    </row>
    <row r="4" spans="2:5" ht="24" customHeight="1" x14ac:dyDescent="0.3">
      <c r="B4" s="70" t="s">
        <v>45</v>
      </c>
      <c r="C4" s="70"/>
      <c r="D4" s="70"/>
      <c r="E4" s="45">
        <f>'Tổng quan'!C3</f>
        <v>0.1</v>
      </c>
    </row>
    <row r="5" spans="2:5" ht="24" customHeight="1" x14ac:dyDescent="0.3">
      <c r="B5" s="70" t="s">
        <v>50</v>
      </c>
      <c r="C5" s="70"/>
      <c r="D5" s="70"/>
      <c r="E5" s="46">
        <f>'Tổng quan'!C10</f>
        <v>20</v>
      </c>
    </row>
    <row r="6" spans="2:5" ht="39.75" customHeight="1" x14ac:dyDescent="0.3">
      <c r="B6" s="50" t="s">
        <v>46</v>
      </c>
      <c r="C6" s="51" t="s">
        <v>47</v>
      </c>
      <c r="D6" s="51" t="s">
        <v>48</v>
      </c>
      <c r="E6" s="51" t="s">
        <v>49</v>
      </c>
    </row>
    <row r="7" spans="2:5" ht="21" x14ac:dyDescent="0.3">
      <c r="B7" s="47">
        <v>1</v>
      </c>
      <c r="C7" s="48">
        <f>E3</f>
        <v>344836101.54204351</v>
      </c>
      <c r="D7" s="48">
        <f>C7*$E$4</f>
        <v>34483610.154204354</v>
      </c>
      <c r="E7" s="49">
        <f>C7+D7</f>
        <v>379319711.69624788</v>
      </c>
    </row>
    <row r="8" spans="2:5" ht="21" x14ac:dyDescent="0.3">
      <c r="B8" s="47">
        <v>2</v>
      </c>
      <c r="C8" s="48">
        <f>E7+$E$3</f>
        <v>724155813.23829138</v>
      </c>
      <c r="D8" s="48">
        <f t="shared" ref="D8:D31" si="0">C8*$E$4</f>
        <v>72415581.323829144</v>
      </c>
      <c r="E8" s="49">
        <f t="shared" ref="E8:E31" si="1">C8+D8</f>
        <v>796571394.56212056</v>
      </c>
    </row>
    <row r="9" spans="2:5" ht="21" x14ac:dyDescent="0.3">
      <c r="B9" s="47">
        <v>3</v>
      </c>
      <c r="C9" s="48">
        <f t="shared" ref="C9:C31" si="2">E8+$E$3</f>
        <v>1141407496.1041641</v>
      </c>
      <c r="D9" s="48">
        <f t="shared" si="0"/>
        <v>114140749.61041641</v>
      </c>
      <c r="E9" s="49">
        <f t="shared" si="1"/>
        <v>1255548245.7145805</v>
      </c>
    </row>
    <row r="10" spans="2:5" ht="21" x14ac:dyDescent="0.3">
      <c r="B10" s="47">
        <v>4</v>
      </c>
      <c r="C10" s="48">
        <f t="shared" si="2"/>
        <v>1600384347.256624</v>
      </c>
      <c r="D10" s="48">
        <f t="shared" si="0"/>
        <v>160038434.72566241</v>
      </c>
      <c r="E10" s="49">
        <f t="shared" si="1"/>
        <v>1760422781.9822865</v>
      </c>
    </row>
    <row r="11" spans="2:5" ht="21" x14ac:dyDescent="0.3">
      <c r="B11" s="47">
        <v>5</v>
      </c>
      <c r="C11" s="48">
        <f t="shared" si="2"/>
        <v>2105258883.5243299</v>
      </c>
      <c r="D11" s="48">
        <f t="shared" si="0"/>
        <v>210525888.352433</v>
      </c>
      <c r="E11" s="49">
        <f t="shared" si="1"/>
        <v>2315784771.8767629</v>
      </c>
    </row>
    <row r="12" spans="2:5" ht="21" x14ac:dyDescent="0.3">
      <c r="B12" s="47">
        <v>6</v>
      </c>
      <c r="C12" s="48">
        <f t="shared" si="2"/>
        <v>2660620873.4188066</v>
      </c>
      <c r="D12" s="48">
        <f t="shared" si="0"/>
        <v>266062087.34188068</v>
      </c>
      <c r="E12" s="49">
        <f t="shared" si="1"/>
        <v>2926682960.7606874</v>
      </c>
    </row>
    <row r="13" spans="2:5" ht="21" x14ac:dyDescent="0.3">
      <c r="B13" s="47">
        <v>7</v>
      </c>
      <c r="C13" s="48">
        <f t="shared" si="2"/>
        <v>3271519062.302731</v>
      </c>
      <c r="D13" s="48">
        <f t="shared" si="0"/>
        <v>327151906.23027313</v>
      </c>
      <c r="E13" s="49">
        <f t="shared" si="1"/>
        <v>3598670968.5330043</v>
      </c>
    </row>
    <row r="14" spans="2:5" ht="21" x14ac:dyDescent="0.3">
      <c r="B14" s="47">
        <v>8</v>
      </c>
      <c r="C14" s="48">
        <f t="shared" si="2"/>
        <v>3943507070.075048</v>
      </c>
      <c r="D14" s="48">
        <f t="shared" si="0"/>
        <v>394350707.00750482</v>
      </c>
      <c r="E14" s="49">
        <f t="shared" si="1"/>
        <v>4337857777.0825529</v>
      </c>
    </row>
    <row r="15" spans="2:5" ht="21" x14ac:dyDescent="0.3">
      <c r="B15" s="47">
        <v>9</v>
      </c>
      <c r="C15" s="48">
        <f t="shared" si="2"/>
        <v>4682693878.6245966</v>
      </c>
      <c r="D15" s="48">
        <f t="shared" si="0"/>
        <v>468269387.86245966</v>
      </c>
      <c r="E15" s="49">
        <f t="shared" si="1"/>
        <v>5150963266.4870567</v>
      </c>
    </row>
    <row r="16" spans="2:5" ht="21" x14ac:dyDescent="0.3">
      <c r="B16" s="47">
        <v>10</v>
      </c>
      <c r="C16" s="48">
        <f t="shared" si="2"/>
        <v>5495799368.0291004</v>
      </c>
      <c r="D16" s="48">
        <f t="shared" si="0"/>
        <v>549579936.80291009</v>
      </c>
      <c r="E16" s="49">
        <f t="shared" si="1"/>
        <v>6045379304.8320103</v>
      </c>
    </row>
    <row r="17" spans="2:5" ht="21" x14ac:dyDescent="0.3">
      <c r="B17" s="47">
        <v>11</v>
      </c>
      <c r="C17" s="48">
        <f t="shared" si="2"/>
        <v>6390215406.374054</v>
      </c>
      <c r="D17" s="48">
        <f t="shared" si="0"/>
        <v>639021540.6374054</v>
      </c>
      <c r="E17" s="49">
        <f t="shared" si="1"/>
        <v>7029236947.0114594</v>
      </c>
    </row>
    <row r="18" spans="2:5" ht="21" x14ac:dyDescent="0.3">
      <c r="B18" s="47">
        <v>12</v>
      </c>
      <c r="C18" s="48">
        <f t="shared" si="2"/>
        <v>7374073048.553503</v>
      </c>
      <c r="D18" s="48">
        <f t="shared" si="0"/>
        <v>737407304.85535038</v>
      </c>
      <c r="E18" s="49">
        <f t="shared" si="1"/>
        <v>8111480353.4088535</v>
      </c>
    </row>
    <row r="19" spans="2:5" ht="21" x14ac:dyDescent="0.3">
      <c r="B19" s="47">
        <v>13</v>
      </c>
      <c r="C19" s="48">
        <f t="shared" si="2"/>
        <v>8456316454.9508972</v>
      </c>
      <c r="D19" s="48">
        <f t="shared" si="0"/>
        <v>845631645.49508977</v>
      </c>
      <c r="E19" s="49">
        <f t="shared" si="1"/>
        <v>9301948100.4459877</v>
      </c>
    </row>
    <row r="20" spans="2:5" ht="21" x14ac:dyDescent="0.3">
      <c r="B20" s="47">
        <v>14</v>
      </c>
      <c r="C20" s="48">
        <f t="shared" si="2"/>
        <v>9646784201.9880314</v>
      </c>
      <c r="D20" s="48">
        <f t="shared" si="0"/>
        <v>964678420.19880319</v>
      </c>
      <c r="E20" s="49">
        <f t="shared" si="1"/>
        <v>10611462622.186834</v>
      </c>
    </row>
    <row r="21" spans="2:5" ht="21" x14ac:dyDescent="0.3">
      <c r="B21" s="47">
        <v>15</v>
      </c>
      <c r="C21" s="48">
        <f t="shared" si="2"/>
        <v>10956298723.728878</v>
      </c>
      <c r="D21" s="48">
        <f t="shared" si="0"/>
        <v>1095629872.3728878</v>
      </c>
      <c r="E21" s="49">
        <f t="shared" si="1"/>
        <v>12051928596.101767</v>
      </c>
    </row>
    <row r="22" spans="2:5" ht="21" x14ac:dyDescent="0.3">
      <c r="B22" s="47">
        <v>16</v>
      </c>
      <c r="C22" s="48">
        <f t="shared" si="2"/>
        <v>12396764697.64381</v>
      </c>
      <c r="D22" s="48">
        <f t="shared" si="0"/>
        <v>1239676469.7643812</v>
      </c>
      <c r="E22" s="49">
        <f t="shared" si="1"/>
        <v>13636441167.408192</v>
      </c>
    </row>
    <row r="23" spans="2:5" ht="21" x14ac:dyDescent="0.3">
      <c r="B23" s="47">
        <v>17</v>
      </c>
      <c r="C23" s="48">
        <f t="shared" si="2"/>
        <v>13981277268.950235</v>
      </c>
      <c r="D23" s="48">
        <f t="shared" si="0"/>
        <v>1398127726.8950236</v>
      </c>
      <c r="E23" s="49">
        <f t="shared" si="1"/>
        <v>15379404995.845259</v>
      </c>
    </row>
    <row r="24" spans="2:5" ht="21" x14ac:dyDescent="0.3">
      <c r="B24" s="47">
        <v>18</v>
      </c>
      <c r="C24" s="48">
        <f t="shared" si="2"/>
        <v>15724241097.387302</v>
      </c>
      <c r="D24" s="48">
        <f t="shared" si="0"/>
        <v>1572424109.7387304</v>
      </c>
      <c r="E24" s="49">
        <f t="shared" si="1"/>
        <v>17296665207.126034</v>
      </c>
    </row>
    <row r="25" spans="2:5" ht="21" x14ac:dyDescent="0.3">
      <c r="B25" s="47">
        <v>19</v>
      </c>
      <c r="C25" s="48">
        <f t="shared" si="2"/>
        <v>17641501308.668076</v>
      </c>
      <c r="D25" s="48">
        <f t="shared" si="0"/>
        <v>1764150130.8668077</v>
      </c>
      <c r="E25" s="49">
        <f t="shared" si="1"/>
        <v>19405651439.534882</v>
      </c>
    </row>
    <row r="26" spans="2:5" ht="21" x14ac:dyDescent="0.3">
      <c r="B26" s="47">
        <v>20</v>
      </c>
      <c r="C26" s="48">
        <f t="shared" si="2"/>
        <v>19750487541.076923</v>
      </c>
      <c r="D26" s="48">
        <f t="shared" si="0"/>
        <v>1975048754.1076925</v>
      </c>
      <c r="E26" s="49">
        <f t="shared" si="1"/>
        <v>21725536295.184616</v>
      </c>
    </row>
    <row r="27" spans="2:5" ht="21" x14ac:dyDescent="0.3">
      <c r="B27" s="47">
        <v>21</v>
      </c>
      <c r="C27" s="48">
        <f t="shared" si="2"/>
        <v>22070372396.726658</v>
      </c>
      <c r="D27" s="48">
        <f t="shared" si="0"/>
        <v>2207037239.6726661</v>
      </c>
      <c r="E27" s="49">
        <f t="shared" si="1"/>
        <v>24277409636.399323</v>
      </c>
    </row>
    <row r="28" spans="2:5" ht="21" x14ac:dyDescent="0.3">
      <c r="B28" s="47">
        <v>22</v>
      </c>
      <c r="C28" s="48">
        <f t="shared" si="2"/>
        <v>24622245737.941364</v>
      </c>
      <c r="D28" s="48">
        <f t="shared" si="0"/>
        <v>2462224573.7941365</v>
      </c>
      <c r="E28" s="49">
        <f t="shared" si="1"/>
        <v>27084470311.7355</v>
      </c>
    </row>
    <row r="29" spans="2:5" ht="21" x14ac:dyDescent="0.3">
      <c r="B29" s="47">
        <v>23</v>
      </c>
      <c r="C29" s="48">
        <f t="shared" si="2"/>
        <v>27429306413.277542</v>
      </c>
      <c r="D29" s="48">
        <f t="shared" si="0"/>
        <v>2742930641.3277545</v>
      </c>
      <c r="E29" s="49">
        <f t="shared" si="1"/>
        <v>30172237054.605297</v>
      </c>
    </row>
    <row r="30" spans="2:5" ht="21" x14ac:dyDescent="0.3">
      <c r="B30" s="47">
        <v>24</v>
      </c>
      <c r="C30" s="48">
        <f t="shared" si="2"/>
        <v>30517073156.147339</v>
      </c>
      <c r="D30" s="48">
        <f t="shared" si="0"/>
        <v>3051707315.6147342</v>
      </c>
      <c r="E30" s="49">
        <f t="shared" si="1"/>
        <v>33568780471.762074</v>
      </c>
    </row>
    <row r="31" spans="2:5" ht="21" x14ac:dyDescent="0.3">
      <c r="B31" s="47">
        <v>25</v>
      </c>
      <c r="C31" s="48">
        <f t="shared" si="2"/>
        <v>33913616573.304115</v>
      </c>
      <c r="D31" s="48">
        <f t="shared" si="0"/>
        <v>3391361657.3304119</v>
      </c>
      <c r="E31" s="49">
        <f t="shared" si="1"/>
        <v>37304978230.634529</v>
      </c>
    </row>
  </sheetData>
  <mergeCells count="4">
    <mergeCell ref="B2:E2"/>
    <mergeCell ref="B3:D3"/>
    <mergeCell ref="B4:D4"/>
    <mergeCell ref="B5:D5"/>
  </mergeCells>
  <conditionalFormatting sqref="B7:E7 B8:B31 D8:E31">
    <cfRule type="expression" dxfId="10" priority="10">
      <formula>MOD(ROW(),2)&gt;0</formula>
    </cfRule>
  </conditionalFormatting>
  <conditionalFormatting sqref="C8:C31">
    <cfRule type="expression" dxfId="9" priority="9">
      <formula>MOD(ROW(),2)&gt;0</formula>
    </cfRule>
  </conditionalFormatting>
  <conditionalFormatting sqref="B3">
    <cfRule type="expression" dxfId="8" priority="8">
      <formula>MOD(ROW(),2)&gt;0</formula>
    </cfRule>
  </conditionalFormatting>
  <conditionalFormatting sqref="E3">
    <cfRule type="expression" dxfId="7" priority="7">
      <formula>MOD(ROW(),2)&gt;0</formula>
    </cfRule>
  </conditionalFormatting>
  <conditionalFormatting sqref="B4:B5">
    <cfRule type="expression" dxfId="6" priority="6">
      <formula>MOD(ROW(),2)&gt;0</formula>
    </cfRule>
  </conditionalFormatting>
  <conditionalFormatting sqref="E4:E5">
    <cfRule type="expression" dxfId="5" priority="5">
      <formula>MOD(ROW(),2)&gt;0</formula>
    </cfRule>
  </conditionalFormatting>
  <conditionalFormatting sqref="B5:E31">
    <cfRule type="duplicateValues" dxfId="4" priority="1"/>
    <cfRule type="duplicateValues" dxfId="3" priority="3"/>
    <cfRule type="duplicateValues" dxfId="2" priority="4"/>
  </conditionalFormatting>
  <conditionalFormatting sqref="F9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quan</vt:lpstr>
      <vt:lpstr>Kiểm chứng tổng hưu trí</vt:lpstr>
      <vt:lpstr>Kiểm chứng rút hưu trí</vt:lpstr>
      <vt:lpstr>Lương hưu đóng bảo hiểm xã hội</vt:lpstr>
      <vt:lpstr>Kiểm chứng tiết kiệm hưu trí</vt:lpstr>
    </vt:vector>
  </TitlesOfParts>
  <Company>Manulife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Tran Quoc</dc:creator>
  <cp:lastModifiedBy>Admin</cp:lastModifiedBy>
  <cp:lastPrinted>2021-10-04T04:46:16Z</cp:lastPrinted>
  <dcterms:created xsi:type="dcterms:W3CDTF">2019-07-12T04:45:53Z</dcterms:created>
  <dcterms:modified xsi:type="dcterms:W3CDTF">2022-09-22T15:12:33Z</dcterms:modified>
</cp:coreProperties>
</file>