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iftresponse1-my.sharepoint.com/personal/bparliment_swiftdrtv_com/Documents/Officers Files/2025 Flood/"/>
    </mc:Choice>
  </mc:AlternateContent>
  <xr:revisionPtr revIDLastSave="52" documentId="8_{2C458864-5DB3-4365-93F2-59CCCEC09266}" xr6:coauthVersionLast="47" xr6:coauthVersionMax="47" xr10:uidLastSave="{C7074A54-49B5-4274-B487-9E0A11F85449}"/>
  <bookViews>
    <workbookView xWindow="-120" yWindow="-120" windowWidth="29040" windowHeight="16440" activeTab="1" xr2:uid="{4782736D-3CEF-4205-92D5-21E30D25794A}"/>
  </bookViews>
  <sheets>
    <sheet name="Input Openings" sheetId="2" r:id="rId1"/>
    <sheet name="Recommend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3" l="1"/>
  <c r="R26" i="3"/>
  <c r="P27" i="3"/>
  <c r="P28" i="3"/>
  <c r="P26" i="3"/>
  <c r="B16" i="3"/>
  <c r="H35" i="2"/>
  <c r="B15" i="3"/>
  <c r="B14" i="3"/>
  <c r="B13" i="3"/>
  <c r="B11" i="3"/>
  <c r="B12" i="3"/>
  <c r="B10" i="3"/>
  <c r="B9" i="3"/>
  <c r="E51" i="2"/>
  <c r="F51" i="2" s="1"/>
  <c r="E23" i="2"/>
  <c r="F23" i="2" s="1"/>
  <c r="E26" i="2"/>
  <c r="F26" i="2" s="1"/>
  <c r="E40" i="2"/>
  <c r="F40" i="2" s="1"/>
  <c r="E42" i="2"/>
  <c r="F42" i="2" s="1"/>
  <c r="E35" i="2"/>
  <c r="F35" i="2" s="1"/>
  <c r="E33" i="2"/>
  <c r="F33" i="2" s="1"/>
  <c r="E19" i="2"/>
  <c r="F19" i="2" s="1"/>
  <c r="Q27" i="3" l="1"/>
  <c r="G51" i="2"/>
  <c r="G23" i="2"/>
  <c r="G31" i="3"/>
  <c r="H31" i="3" s="1"/>
  <c r="E31" i="2"/>
  <c r="H56" i="2"/>
  <c r="C30" i="3" s="1"/>
  <c r="G42" i="2"/>
  <c r="G40" i="2"/>
  <c r="G35" i="2"/>
  <c r="G33" i="2"/>
  <c r="G26" i="2"/>
  <c r="E21" i="2"/>
  <c r="B47" i="2"/>
  <c r="F31" i="2" l="1"/>
  <c r="G31" i="2" s="1"/>
  <c r="F21" i="2"/>
  <c r="F56" i="2" s="1"/>
  <c r="B32" i="3"/>
  <c r="C32" i="3" s="1"/>
  <c r="D30" i="3"/>
  <c r="C47" i="3"/>
  <c r="D47" i="3" s="1"/>
  <c r="G19" i="2"/>
  <c r="G21" i="2" l="1"/>
  <c r="G56" i="2" s="1"/>
  <c r="D32" i="3"/>
  <c r="F57" i="2"/>
  <c r="F58" i="2"/>
  <c r="G58" i="2" l="1"/>
  <c r="J28" i="3"/>
  <c r="K28" i="3" s="1"/>
  <c r="G57" i="2"/>
  <c r="L28" i="3" l="1"/>
  <c r="K27" i="3"/>
  <c r="C31" i="3"/>
  <c r="M28" i="3" l="1"/>
  <c r="L27" i="3" s="1"/>
  <c r="C28" i="3"/>
  <c r="C48" i="3"/>
  <c r="C25" i="3"/>
  <c r="D31" i="3"/>
  <c r="D28" i="3" l="1"/>
  <c r="C44" i="3"/>
  <c r="D44" i="3" s="1"/>
  <c r="M27" i="3"/>
  <c r="L26" i="3" s="1"/>
  <c r="C27" i="3"/>
  <c r="D48" i="3"/>
  <c r="D25" i="3"/>
  <c r="C41" i="3"/>
  <c r="D27" i="3" l="1"/>
  <c r="C43" i="3"/>
  <c r="D43" i="3" s="1"/>
  <c r="M26" i="3"/>
  <c r="M30" i="3" s="1"/>
  <c r="C26" i="3"/>
  <c r="D41" i="3"/>
  <c r="C42" i="3" l="1"/>
  <c r="D42" i="3" s="1"/>
  <c r="C29" i="3"/>
  <c r="D26" i="3"/>
  <c r="D29" i="3" l="1"/>
  <c r="D34" i="3" s="1"/>
  <c r="C45" i="3"/>
  <c r="D45" i="3" s="1"/>
  <c r="C46" i="3"/>
  <c r="D46" i="3" s="1"/>
  <c r="G29" i="3"/>
  <c r="D50" i="3" l="1"/>
</calcChain>
</file>

<file path=xl/sharedStrings.xml><?xml version="1.0" encoding="utf-8"?>
<sst xmlns="http://schemas.openxmlformats.org/spreadsheetml/2006/main" count="97" uniqueCount="71">
  <si>
    <t>How many Single Hung doors do you have?</t>
  </si>
  <si>
    <t>How many Garage doors do you have?</t>
  </si>
  <si>
    <t>Y or N</t>
  </si>
  <si>
    <t>Please complete below charts</t>
  </si>
  <si>
    <t>How many inches above ground are they?</t>
  </si>
  <si>
    <t>inches</t>
  </si>
  <si>
    <t>Paste</t>
  </si>
  <si>
    <t>Liquid</t>
  </si>
  <si>
    <t>Please complete all Boxes in GREEN</t>
  </si>
  <si>
    <t>Foam</t>
  </si>
  <si>
    <t>Linear inches</t>
  </si>
  <si>
    <t>28 oz</t>
  </si>
  <si>
    <t>Recommendations</t>
  </si>
  <si>
    <t>Recommended</t>
  </si>
  <si>
    <t>9 oz</t>
  </si>
  <si>
    <t>Cost</t>
  </si>
  <si>
    <t>Unit</t>
  </si>
  <si>
    <t>Size</t>
  </si>
  <si>
    <t>Flex Seal Flood Liquid</t>
  </si>
  <si>
    <t>Flex Flood Paste</t>
  </si>
  <si>
    <t>Flex Flood Spray</t>
  </si>
  <si>
    <t>10 oz</t>
  </si>
  <si>
    <t>Cost to SECUR your home</t>
  </si>
  <si>
    <t>Alternate Purchase Options</t>
  </si>
  <si>
    <t>122 oz</t>
  </si>
  <si>
    <t>17 oz</t>
  </si>
  <si>
    <t>Flex Flood Filler</t>
  </si>
  <si>
    <t>500g</t>
  </si>
  <si>
    <t>Got to Recommendation</t>
  </si>
  <si>
    <t>Return to Input</t>
  </si>
  <si>
    <t>How Many Windows are below flood line?</t>
  </si>
  <si>
    <t>Do you own a caulking gun?</t>
  </si>
  <si>
    <t>Starter Kit</t>
  </si>
  <si>
    <t>Mutil Kit</t>
  </si>
  <si>
    <t>Skip the below Charts and go to recommendation</t>
  </si>
  <si>
    <t>Do you have any windows below the floodline?</t>
  </si>
  <si>
    <t>Do any of your doors have side lights?</t>
  </si>
  <si>
    <t>How high do you need to seal your openings?*</t>
  </si>
  <si>
    <t>* the height should be at least 6 inches above expected flood height</t>
  </si>
  <si>
    <t>How many have glass panels below flood height above?</t>
  </si>
  <si>
    <t>How many Double Hung doors do you have?*</t>
  </si>
  <si>
    <t>* Doors without glass panels</t>
  </si>
  <si>
    <t>How many French Doors do you have?*</t>
  </si>
  <si>
    <t>* French Doors have glass panels</t>
  </si>
  <si>
    <t>How Many Sliding Glass doors do you have?*</t>
  </si>
  <si>
    <t>How many total panels?*</t>
  </si>
  <si>
    <t>* Most doors have 2 panels, but some may have more.</t>
  </si>
  <si>
    <t>How many 2 car doors?</t>
  </si>
  <si>
    <t>How many single car doors?</t>
  </si>
  <si>
    <t>How Many side lights (tyoically 1 or 2 per door)?</t>
  </si>
  <si>
    <t>Single hung Doors</t>
  </si>
  <si>
    <t>Double Hung Doors</t>
  </si>
  <si>
    <t>French Doors</t>
  </si>
  <si>
    <t>Sliding doors</t>
  </si>
  <si>
    <t>Side Lights</t>
  </si>
  <si>
    <t>Garage Door (2 car)</t>
  </si>
  <si>
    <t>Garage Door (1 Car)</t>
  </si>
  <si>
    <t>To Make Changes:</t>
  </si>
  <si>
    <t>In Summary, you have:</t>
  </si>
  <si>
    <t xml:space="preserve">Welcome to the coverage calculator by </t>
  </si>
  <si>
    <t>Ounces</t>
  </si>
  <si>
    <t>Packs</t>
  </si>
  <si>
    <t>Y</t>
  </si>
  <si>
    <t>Windows</t>
  </si>
  <si>
    <t>Flex Seal Liquid</t>
  </si>
  <si>
    <t>320 oz</t>
  </si>
  <si>
    <t>N</t>
  </si>
  <si>
    <t>FLEX SEAL</t>
  </si>
  <si>
    <t>Click Here</t>
  </si>
  <si>
    <t>to place your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</si>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</sst>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20"/>
      <color rgb="FFFF0000"/>
      <name val="Aptos Narrow"/>
      <family val="2"/>
      <scheme val="minor"/>
    </font>
    <font>
      <u/>
      <sz val="18"/>
      <color rgb="FFFF0000"/>
      <name val="Aptos Narrow"/>
      <family val="2"/>
      <scheme val="minor"/>
    </font>
    <font>
      <u/>
      <sz val="16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7" fillId="0" borderId="0" xfId="3" applyFont="1"/>
    <xf numFmtId="43" fontId="0" fillId="0" borderId="0" xfId="1" applyFont="1"/>
    <xf numFmtId="164" fontId="0" fillId="0" borderId="0" xfId="1" applyNumberFormat="1" applyFont="1"/>
    <xf numFmtId="164" fontId="0" fillId="0" borderId="0" xfId="1" applyNumberFormat="1" applyFont="1" applyAlignment="1"/>
    <xf numFmtId="44" fontId="0" fillId="0" borderId="0" xfId="2" applyFont="1"/>
    <xf numFmtId="0" fontId="8" fillId="0" borderId="0" xfId="3" applyFont="1" applyAlignment="1">
      <alignment horizontal="left" vertical="center"/>
    </xf>
    <xf numFmtId="0" fontId="6" fillId="0" borderId="0" xfId="3" applyFont="1"/>
    <xf numFmtId="0" fontId="9" fillId="0" borderId="0" xfId="0" applyFont="1" applyAlignment="1">
      <alignment horizontal="left" vertical="center"/>
    </xf>
    <xf numFmtId="43" fontId="10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/>
    <xf numFmtId="43" fontId="0" fillId="0" borderId="0" xfId="0" applyNumberFormat="1"/>
    <xf numFmtId="44" fontId="0" fillId="0" borderId="0" xfId="0" applyNumberFormat="1"/>
    <xf numFmtId="0" fontId="8" fillId="0" borderId="0" xfId="3" applyFont="1"/>
    <xf numFmtId="164" fontId="12" fillId="0" borderId="0" xfId="1" applyNumberFormat="1" applyFont="1" applyAlignment="1">
      <alignment wrapText="1"/>
    </xf>
    <xf numFmtId="0" fontId="0" fillId="0" borderId="0" xfId="0" applyAlignment="1">
      <alignment wrapText="1"/>
    </xf>
    <xf numFmtId="44" fontId="12" fillId="0" borderId="0" xfId="2" applyFont="1" applyAlignment="1">
      <alignment horizontal="center"/>
    </xf>
    <xf numFmtId="44" fontId="12" fillId="0" borderId="0" xfId="2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509589</xdr:colOff>
      <xdr:row>2</xdr:row>
      <xdr:rowOff>128589</xdr:rowOff>
    </xdr:from>
    <xdr:to>
      <xdr:col>1</xdr:col>
      <xdr:colOff>2890839</xdr:colOff>
      <xdr:row>6</xdr:row>
      <xdr:rowOff>160348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0F6509-912E-CC13-194E-15952EB4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4" y="576264"/>
          <a:ext cx="2381250" cy="755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412748</xdr:colOff>
      <xdr:row>4</xdr:row>
      <xdr:rowOff>20879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9AC6FD-800E-400E-A4D5-C0B6C612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3624" cy="740546"/>
        </a:xfrm>
        <a:prstGeom prst="rect">
          <a:avLst/>
        </a:prstGeom>
      </xdr:spPr>
    </xdr:pic>
    <xdr:clientData/>
  </xdr:twoCellAnchor>
  <xdr:twoCellAnchor>
    <xdr:from>
      <xdr:col>4</xdr:col>
      <xdr:colOff>440531</xdr:colOff>
      <xdr:row>17</xdr:row>
      <xdr:rowOff>59531</xdr:rowOff>
    </xdr:from>
    <xdr:to>
      <xdr:col>4</xdr:col>
      <xdr:colOff>440531</xdr:colOff>
      <xdr:row>18</xdr:row>
      <xdr:rowOff>202406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F58E96B-3F48-BA99-B4B2-A607C2025F84}"/>
            </a:ext>
          </a:extLst>
        </xdr:cNvPr>
        <xdr:cNvCxnSpPr/>
      </xdr:nvCxnSpPr>
      <xdr:spPr>
        <a:xfrm>
          <a:off x="4798219" y="3821906"/>
          <a:ext cx="0" cy="333375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flexsealproducts.com/collections/flood-prote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B058-B413-45E6-8187-8FDD4D6FFC2E}">
  <dimension ref="B2:K64"/>
  <sheetViews>
    <sheetView workbookViewId="0">
      <selection activeCell="C20" sqref="C20"/>
    </sheetView>
  </sheetViews>
  <sheetFormatPr defaultColWidth="9" defaultRowHeight="15" x14ac:dyDescent="0.25"/>
  <cols>
    <col min="1" max="1" width="5" style="3" customWidth="1"/>
    <col min="2" max="2" width="47.85546875" style="2" customWidth="1"/>
    <col min="3" max="3" width="6.7109375" style="3" customWidth="1"/>
    <col min="4" max="4" width="15.42578125" style="2" customWidth="1"/>
    <col min="5" max="5" width="15.42578125" style="2" hidden="1" customWidth="1"/>
    <col min="6" max="6" width="10" style="8" hidden="1" customWidth="1"/>
    <col min="7" max="7" width="9.7109375" style="8" hidden="1" customWidth="1"/>
    <col min="8" max="9" width="9" style="3" hidden="1" customWidth="1"/>
    <col min="10" max="10" width="0" style="3" hidden="1" customWidth="1"/>
    <col min="11" max="16384" width="9" style="3"/>
  </cols>
  <sheetData>
    <row r="2" spans="2:11" ht="21" x14ac:dyDescent="0.25">
      <c r="B2" s="21" t="s">
        <v>59</v>
      </c>
    </row>
    <row r="9" spans="2:11" ht="18.75" x14ac:dyDescent="0.25">
      <c r="B9" s="22" t="s">
        <v>8</v>
      </c>
    </row>
    <row r="12" spans="2:11" ht="15.75" thickBot="1" x14ac:dyDescent="0.3">
      <c r="E12" s="2" t="s">
        <v>10</v>
      </c>
      <c r="F12" s="8" t="s">
        <v>6</v>
      </c>
      <c r="G12" s="8" t="s">
        <v>7</v>
      </c>
      <c r="H12" s="3" t="s">
        <v>9</v>
      </c>
      <c r="J12" s="8"/>
      <c r="K12" s="8"/>
    </row>
    <row r="13" spans="2:11" ht="16.5" thickBot="1" x14ac:dyDescent="0.3">
      <c r="B13" s="5" t="s">
        <v>37</v>
      </c>
      <c r="C13" s="7">
        <v>36</v>
      </c>
      <c r="D13" s="2" t="s">
        <v>5</v>
      </c>
    </row>
    <row r="14" spans="2:11" ht="9.4" customHeight="1" x14ac:dyDescent="0.25">
      <c r="B14" s="4"/>
    </row>
    <row r="15" spans="2:11" x14ac:dyDescent="0.25">
      <c r="B15" s="4" t="s">
        <v>38</v>
      </c>
    </row>
    <row r="16" spans="2:11" x14ac:dyDescent="0.25">
      <c r="B16" s="4"/>
    </row>
    <row r="17" spans="2:8" x14ac:dyDescent="0.25">
      <c r="B17" s="4"/>
      <c r="F17" s="8" t="s">
        <v>60</v>
      </c>
      <c r="G17" s="8" t="s">
        <v>60</v>
      </c>
      <c r="H17" s="3" t="s">
        <v>61</v>
      </c>
    </row>
    <row r="18" spans="2:8" ht="15.75" thickBot="1" x14ac:dyDescent="0.3"/>
    <row r="19" spans="2:8" ht="22.5" customHeight="1" thickBot="1" x14ac:dyDescent="0.3">
      <c r="B19" s="5" t="s">
        <v>0</v>
      </c>
      <c r="C19" s="7">
        <v>0</v>
      </c>
      <c r="E19" s="2">
        <f>+C19*(36*2+((C13)*6))</f>
        <v>0</v>
      </c>
      <c r="F19" s="8">
        <f>+E19/12/1.5</f>
        <v>0</v>
      </c>
      <c r="G19" s="8">
        <f>+F19*0.6</f>
        <v>0</v>
      </c>
    </row>
    <row r="20" spans="2:8" ht="6.75" customHeight="1" thickBot="1" x14ac:dyDescent="0.3"/>
    <row r="21" spans="2:8" ht="19.899999999999999" customHeight="1" thickBot="1" x14ac:dyDescent="0.3">
      <c r="B21" s="2" t="s">
        <v>39</v>
      </c>
      <c r="C21" s="1">
        <v>0</v>
      </c>
      <c r="E21" s="2">
        <f>+C21*(30+C13+C13)</f>
        <v>0</v>
      </c>
      <c r="F21" s="8">
        <f>+E21/12/1.5</f>
        <v>0</v>
      </c>
      <c r="G21" s="8">
        <f>+F21*0.6</f>
        <v>0</v>
      </c>
    </row>
    <row r="22" spans="2:8" ht="25.15" customHeight="1" thickBot="1" x14ac:dyDescent="0.3"/>
    <row r="23" spans="2:8" ht="22.5" customHeight="1" thickBot="1" x14ac:dyDescent="0.3">
      <c r="B23" s="5" t="s">
        <v>40</v>
      </c>
      <c r="C23" s="7">
        <v>0</v>
      </c>
      <c r="E23" s="2">
        <f>+C23*(72*2+((C13)*7))</f>
        <v>0</v>
      </c>
      <c r="F23" s="8">
        <f>+E23/12/1.5</f>
        <v>0</v>
      </c>
      <c r="G23" s="8">
        <f>+F23*0.6</f>
        <v>0</v>
      </c>
    </row>
    <row r="24" spans="2:8" ht="12" customHeight="1" x14ac:dyDescent="0.25">
      <c r="B24" s="20" t="s">
        <v>41</v>
      </c>
    </row>
    <row r="25" spans="2:8" ht="25.15" customHeight="1" thickBot="1" x14ac:dyDescent="0.3"/>
    <row r="26" spans="2:8" ht="16.899999999999999" customHeight="1" thickBot="1" x14ac:dyDescent="0.3">
      <c r="B26" s="5" t="s">
        <v>42</v>
      </c>
      <c r="C26" s="7">
        <v>0</v>
      </c>
      <c r="E26" s="2">
        <f>+(C26*(72*2+(7*($C$13))))+(C26)*(60+((C13-6)*4))</f>
        <v>0</v>
      </c>
      <c r="F26" s="8">
        <f>+E26/12/1.5</f>
        <v>0</v>
      </c>
      <c r="G26" s="8">
        <f>+F26*0.6</f>
        <v>0</v>
      </c>
    </row>
    <row r="27" spans="2:8" ht="12.4" customHeight="1" x14ac:dyDescent="0.25">
      <c r="B27" s="2" t="s">
        <v>43</v>
      </c>
    </row>
    <row r="28" spans="2:8" ht="22.15" customHeight="1" thickBot="1" x14ac:dyDescent="0.3"/>
    <row r="29" spans="2:8" ht="22.15" customHeight="1" thickBot="1" x14ac:dyDescent="0.3">
      <c r="B29" s="5" t="s">
        <v>36</v>
      </c>
      <c r="C29" s="7" t="s">
        <v>66</v>
      </c>
      <c r="D29" s="2" t="s">
        <v>2</v>
      </c>
    </row>
    <row r="30" spans="2:8" ht="5.65" customHeight="1" thickBot="1" x14ac:dyDescent="0.3"/>
    <row r="31" spans="2:8" ht="22.15" customHeight="1" thickBot="1" x14ac:dyDescent="0.3">
      <c r="B31" s="2" t="s">
        <v>49</v>
      </c>
      <c r="C31" s="1">
        <v>0</v>
      </c>
      <c r="E31" s="2">
        <f>+C31*(18+($C$13*4))</f>
        <v>0</v>
      </c>
      <c r="F31" s="8">
        <f>+E31/12/1.5</f>
        <v>0</v>
      </c>
      <c r="G31" s="8">
        <f>+F31*0.6</f>
        <v>0</v>
      </c>
    </row>
    <row r="32" spans="2:8" ht="22.15" customHeight="1" thickBot="1" x14ac:dyDescent="0.3"/>
    <row r="33" spans="2:8" ht="16.5" thickBot="1" x14ac:dyDescent="0.3">
      <c r="B33" s="5" t="s">
        <v>44</v>
      </c>
      <c r="C33" s="7">
        <v>0</v>
      </c>
      <c r="E33" s="2">
        <f>+C33*(72*2+(7*($C$13)))</f>
        <v>0</v>
      </c>
      <c r="F33" s="8">
        <f>+E33/12/1.5</f>
        <v>0</v>
      </c>
      <c r="G33" s="8">
        <f>+F33*0.6</f>
        <v>0</v>
      </c>
    </row>
    <row r="34" spans="2:8" ht="6.75" customHeight="1" thickBot="1" x14ac:dyDescent="0.3"/>
    <row r="35" spans="2:8" ht="15.75" thickBot="1" x14ac:dyDescent="0.3">
      <c r="B35" s="2" t="s">
        <v>45</v>
      </c>
      <c r="C35" s="1">
        <v>0</v>
      </c>
      <c r="E35" s="2">
        <f>+C35*(60+($C$13*2))</f>
        <v>0</v>
      </c>
      <c r="F35" s="8">
        <f>+E35/12/1.5</f>
        <v>0</v>
      </c>
      <c r="G35" s="8">
        <f>+F35*0.6</f>
        <v>0</v>
      </c>
      <c r="H35" s="3">
        <f>+C35/2</f>
        <v>0</v>
      </c>
    </row>
    <row r="36" spans="2:8" ht="12.4" customHeight="1" x14ac:dyDescent="0.25">
      <c r="B36" s="2" t="s">
        <v>46</v>
      </c>
    </row>
    <row r="37" spans="2:8" ht="24.75" customHeight="1" thickBot="1" x14ac:dyDescent="0.3"/>
    <row r="38" spans="2:8" ht="16.5" thickBot="1" x14ac:dyDescent="0.3">
      <c r="B38" s="5" t="s">
        <v>1</v>
      </c>
      <c r="C38" s="7">
        <v>0</v>
      </c>
      <c r="F38" s="8">
        <v>0</v>
      </c>
    </row>
    <row r="39" spans="2:8" ht="9.4" customHeight="1" thickBot="1" x14ac:dyDescent="0.3"/>
    <row r="40" spans="2:8" ht="15.75" thickBot="1" x14ac:dyDescent="0.3">
      <c r="B40" s="2" t="s">
        <v>47</v>
      </c>
      <c r="C40" s="1">
        <v>0</v>
      </c>
      <c r="E40" s="2">
        <f>+C40*(240*2+(($C$13)*4))</f>
        <v>0</v>
      </c>
      <c r="F40" s="8">
        <f>+E40/12/1.5</f>
        <v>0</v>
      </c>
      <c r="G40" s="8">
        <f>+F40*0.6</f>
        <v>0</v>
      </c>
    </row>
    <row r="41" spans="2:8" ht="9" customHeight="1" thickBot="1" x14ac:dyDescent="0.3"/>
    <row r="42" spans="2:8" ht="15.75" thickBot="1" x14ac:dyDescent="0.3">
      <c r="B42" s="2" t="s">
        <v>48</v>
      </c>
      <c r="C42" s="1">
        <v>0</v>
      </c>
      <c r="E42" s="2">
        <f>+C42*(120*2+(($C$13)*4))</f>
        <v>0</v>
      </c>
      <c r="F42" s="8">
        <f>+E42/12/1.5</f>
        <v>0</v>
      </c>
      <c r="G42" s="8">
        <f>+F42*0.6</f>
        <v>0</v>
      </c>
    </row>
    <row r="43" spans="2:8" ht="25.9" customHeight="1" x14ac:dyDescent="0.25"/>
    <row r="44" spans="2:8" ht="25.9" customHeight="1" thickBot="1" x14ac:dyDescent="0.3"/>
    <row r="45" spans="2:8" ht="25.9" customHeight="1" thickBot="1" x14ac:dyDescent="0.3">
      <c r="B45" s="5" t="s">
        <v>35</v>
      </c>
      <c r="C45" s="7" t="s">
        <v>66</v>
      </c>
      <c r="D45" s="2" t="s">
        <v>2</v>
      </c>
    </row>
    <row r="46" spans="2:8" ht="10.5" customHeight="1" x14ac:dyDescent="0.25"/>
    <row r="47" spans="2:8" ht="25.9" customHeight="1" x14ac:dyDescent="0.25">
      <c r="B47" s="18" t="str">
        <f>IF(C45="Y",F47,G47)</f>
        <v>Skip the below Charts and go to recommendation</v>
      </c>
      <c r="F47" s="9" t="s">
        <v>3</v>
      </c>
      <c r="G47" s="19" t="s">
        <v>34</v>
      </c>
    </row>
    <row r="48" spans="2:8" ht="25.9" customHeight="1" thickBot="1" x14ac:dyDescent="0.3"/>
    <row r="49" spans="2:8" ht="16.5" thickBot="1" x14ac:dyDescent="0.3">
      <c r="B49" s="5" t="s">
        <v>30</v>
      </c>
      <c r="C49" s="1">
        <v>0</v>
      </c>
      <c r="F49" s="8">
        <v>0</v>
      </c>
    </row>
    <row r="50" spans="2:8" ht="9.75" customHeight="1" thickBot="1" x14ac:dyDescent="0.3"/>
    <row r="51" spans="2:8" ht="15.75" thickBot="1" x14ac:dyDescent="0.3">
      <c r="B51" s="2" t="s">
        <v>4</v>
      </c>
      <c r="C51" s="1">
        <v>0</v>
      </c>
      <c r="E51" s="2">
        <f>+C49*(36+((C13-C51)*4))</f>
        <v>0</v>
      </c>
      <c r="F51" s="8">
        <f>+E51/12/1.5</f>
        <v>0</v>
      </c>
      <c r="G51" s="8">
        <f>+F51*0.6</f>
        <v>0</v>
      </c>
    </row>
    <row r="52" spans="2:8" ht="7.5" customHeight="1" x14ac:dyDescent="0.25"/>
    <row r="54" spans="2:8" ht="25.9" customHeight="1" x14ac:dyDescent="0.25">
      <c r="B54" s="5" t="s">
        <v>31</v>
      </c>
      <c r="C54" s="6" t="s">
        <v>62</v>
      </c>
      <c r="D54" s="2" t="s">
        <v>2</v>
      </c>
    </row>
    <row r="56" spans="2:8" s="8" customFormat="1" x14ac:dyDescent="0.25">
      <c r="B56" s="9"/>
      <c r="D56" s="9"/>
      <c r="E56" s="9"/>
      <c r="F56" s="9">
        <f>SUM(F19:F52)</f>
        <v>0</v>
      </c>
      <c r="G56" s="9">
        <f>SUM(G19:G52)</f>
        <v>0</v>
      </c>
      <c r="H56" s="9">
        <f>SUM(H19:H52)</f>
        <v>0</v>
      </c>
    </row>
    <row r="57" spans="2:8" ht="21" x14ac:dyDescent="0.25">
      <c r="B57" s="16" t="s">
        <v>28</v>
      </c>
      <c r="F57" s="8">
        <f>+F56/9</f>
        <v>0</v>
      </c>
      <c r="G57" s="8">
        <f>+G56/28</f>
        <v>0</v>
      </c>
    </row>
    <row r="58" spans="2:8" x14ac:dyDescent="0.25">
      <c r="F58" s="8">
        <f>+F56/28</f>
        <v>0</v>
      </c>
      <c r="G58" s="8">
        <f>+G56/122</f>
        <v>0</v>
      </c>
    </row>
    <row r="64" spans="2:8" ht="26.25" x14ac:dyDescent="0.25">
      <c r="B64" s="10"/>
    </row>
  </sheetData>
  <conditionalFormatting sqref="C21">
    <cfRule type="expression" dxfId="6" priority="12">
      <formula>$C$19&gt;0</formula>
    </cfRule>
  </conditionalFormatting>
  <conditionalFormatting sqref="C31">
    <cfRule type="expression" dxfId="5" priority="2">
      <formula>$C$29="Y"</formula>
    </cfRule>
  </conditionalFormatting>
  <conditionalFormatting sqref="C35">
    <cfRule type="expression" dxfId="4" priority="13">
      <formula>$C$33&gt;0</formula>
    </cfRule>
  </conditionalFormatting>
  <conditionalFormatting sqref="C40">
    <cfRule type="expression" dxfId="3" priority="8">
      <formula>$C$38-$C$42&gt;0</formula>
    </cfRule>
  </conditionalFormatting>
  <conditionalFormatting sqref="C42">
    <cfRule type="expression" dxfId="2" priority="7">
      <formula>$C$38-$C$40&gt;0</formula>
    </cfRule>
  </conditionalFormatting>
  <conditionalFormatting sqref="C49">
    <cfRule type="expression" dxfId="1" priority="6">
      <formula>$C$45="Y"</formula>
    </cfRule>
  </conditionalFormatting>
  <conditionalFormatting sqref="C51">
    <cfRule type="expression" dxfId="0" priority="5">
      <formula>$C$45="Y"</formula>
    </cfRule>
  </conditionalFormatting>
  <hyperlinks>
    <hyperlink ref="B57" location="Recommendation!A1" display="Got to Recommendation" xr:uid="{FAB819F3-B253-42A8-B8BC-589B3BEB2F0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2530-4B4A-466D-86E8-C2E42DEDD5BE}">
  <dimension ref="A7:R50"/>
  <sheetViews>
    <sheetView tabSelected="1" zoomScale="80" zoomScaleNormal="80" workbookViewId="0">
      <selection activeCell="E20" sqref="E20"/>
    </sheetView>
  </sheetViews>
  <sheetFormatPr defaultRowHeight="15" x14ac:dyDescent="0.25"/>
  <cols>
    <col min="1" max="1" width="26.85546875" customWidth="1"/>
    <col min="2" max="2" width="9.85546875" customWidth="1"/>
    <col min="3" max="3" width="16" style="14" customWidth="1"/>
    <col min="4" max="4" width="12.7109375" style="12" customWidth="1"/>
    <col min="5" max="5" width="16" style="15" customWidth="1"/>
    <col min="7" max="10" width="9.140625" hidden="1" customWidth="1"/>
    <col min="11" max="11" width="11.28515625" style="12" hidden="1" customWidth="1"/>
    <col min="12" max="13" width="9.140625" style="12" hidden="1" customWidth="1"/>
    <col min="14" max="18" width="9.140625" hidden="1" customWidth="1"/>
    <col min="19" max="19" width="0" hidden="1" customWidth="1"/>
  </cols>
  <sheetData>
    <row r="7" spans="1:5" ht="18.75" x14ac:dyDescent="0.3">
      <c r="A7" s="23" t="s">
        <v>58</v>
      </c>
      <c r="B7" s="23"/>
    </row>
    <row r="8" spans="1:5" ht="18.75" x14ac:dyDescent="0.3">
      <c r="A8" s="23"/>
      <c r="B8" s="23"/>
    </row>
    <row r="9" spans="1:5" ht="18.75" x14ac:dyDescent="0.3">
      <c r="A9" s="23" t="s">
        <v>50</v>
      </c>
      <c r="B9" s="23">
        <f>+'Input Openings'!C19</f>
        <v>0</v>
      </c>
    </row>
    <row r="10" spans="1:5" ht="18.75" x14ac:dyDescent="0.3">
      <c r="A10" s="23" t="s">
        <v>51</v>
      </c>
      <c r="B10" s="23">
        <f>+'Input Openings'!C23</f>
        <v>0</v>
      </c>
    </row>
    <row r="11" spans="1:5" ht="18.75" x14ac:dyDescent="0.3">
      <c r="A11" s="23" t="s">
        <v>54</v>
      </c>
      <c r="B11" s="23">
        <f>+'Input Openings'!C31</f>
        <v>0</v>
      </c>
    </row>
    <row r="12" spans="1:5" ht="18.75" x14ac:dyDescent="0.3">
      <c r="A12" s="23" t="s">
        <v>52</v>
      </c>
      <c r="B12" s="23">
        <f>+'Input Openings'!C26</f>
        <v>0</v>
      </c>
    </row>
    <row r="13" spans="1:5" ht="18.75" x14ac:dyDescent="0.3">
      <c r="A13" s="23" t="s">
        <v>53</v>
      </c>
      <c r="B13" s="23">
        <f>+'Input Openings'!C33</f>
        <v>0</v>
      </c>
    </row>
    <row r="14" spans="1:5" ht="18.75" x14ac:dyDescent="0.3">
      <c r="A14" s="23" t="s">
        <v>55</v>
      </c>
      <c r="B14" s="23">
        <f>+'Input Openings'!C40</f>
        <v>0</v>
      </c>
    </row>
    <row r="15" spans="1:5" ht="18.75" x14ac:dyDescent="0.3">
      <c r="A15" s="23" t="s">
        <v>56</v>
      </c>
      <c r="B15" s="23">
        <f>+'Input Openings'!C42</f>
        <v>0</v>
      </c>
      <c r="E15" s="29" t="s">
        <v>68</v>
      </c>
    </row>
    <row r="16" spans="1:5" ht="18.75" x14ac:dyDescent="0.3">
      <c r="A16" s="23" t="s">
        <v>63</v>
      </c>
      <c r="B16" s="23">
        <f>+'Input Openings'!C49</f>
        <v>0</v>
      </c>
      <c r="E16" s="29" t="s">
        <v>69</v>
      </c>
    </row>
    <row r="17" spans="1:18" ht="18.75" x14ac:dyDescent="0.3">
      <c r="E17" s="29" t="s">
        <v>70</v>
      </c>
    </row>
    <row r="18" spans="1:18" ht="18.75" x14ac:dyDescent="0.3">
      <c r="E18" s="30"/>
    </row>
    <row r="19" spans="1:18" ht="18.75" x14ac:dyDescent="0.3">
      <c r="A19" s="23" t="s">
        <v>57</v>
      </c>
      <c r="B19" s="23"/>
      <c r="E19" s="30"/>
    </row>
    <row r="20" spans="1:18" ht="34.5" customHeight="1" x14ac:dyDescent="0.4">
      <c r="A20" s="17" t="s">
        <v>29</v>
      </c>
      <c r="B20" s="11"/>
      <c r="C20" s="27"/>
      <c r="D20" s="28"/>
      <c r="E20" s="26" t="s">
        <v>67</v>
      </c>
    </row>
    <row r="23" spans="1:18" ht="18.75" x14ac:dyDescent="0.3">
      <c r="A23" s="23" t="s">
        <v>12</v>
      </c>
    </row>
    <row r="24" spans="1:18" x14ac:dyDescent="0.25">
      <c r="B24" t="s">
        <v>17</v>
      </c>
      <c r="C24" s="14" t="s">
        <v>13</v>
      </c>
      <c r="D24" s="12" t="s">
        <v>15</v>
      </c>
      <c r="E24" s="15" t="s">
        <v>16</v>
      </c>
    </row>
    <row r="25" spans="1:18" x14ac:dyDescent="0.25">
      <c r="A25" t="s">
        <v>19</v>
      </c>
      <c r="B25" t="s">
        <v>14</v>
      </c>
      <c r="C25" s="14">
        <f>ROUNDUP('Input Openings'!F57,0)-C31</f>
        <v>0</v>
      </c>
      <c r="D25" s="12">
        <f>+C25*E25</f>
        <v>0</v>
      </c>
      <c r="E25" s="15">
        <v>19.989999999999998</v>
      </c>
    </row>
    <row r="26" spans="1:18" x14ac:dyDescent="0.25">
      <c r="A26" t="s">
        <v>18</v>
      </c>
      <c r="B26" t="s">
        <v>11</v>
      </c>
      <c r="C26" s="14">
        <f>IF(L26&gt;0,ROUNDUP(L26,0),0)</f>
        <v>0</v>
      </c>
      <c r="D26" s="12">
        <f>+C26*E26</f>
        <v>0</v>
      </c>
      <c r="E26" s="15">
        <v>39.99</v>
      </c>
      <c r="L26" s="12">
        <f>(IF(J28-M27-M28&lt;85,(J28-M28-M27)/28,0))</f>
        <v>0</v>
      </c>
      <c r="M26" s="12">
        <f>+L26*28</f>
        <v>0</v>
      </c>
      <c r="O26">
        <v>3</v>
      </c>
      <c r="P26" s="25">
        <f>+O26*E26</f>
        <v>119.97</v>
      </c>
      <c r="R26">
        <f>+O26*28</f>
        <v>84</v>
      </c>
    </row>
    <row r="27" spans="1:18" x14ac:dyDescent="0.25">
      <c r="A27" t="s">
        <v>18</v>
      </c>
      <c r="B27" t="s">
        <v>24</v>
      </c>
      <c r="C27" s="14">
        <f>+L27</f>
        <v>0</v>
      </c>
      <c r="D27" s="12">
        <f>+E27*C27</f>
        <v>0</v>
      </c>
      <c r="E27" s="15">
        <v>149.99</v>
      </c>
      <c r="K27" s="12">
        <f>IF(J28&gt;84,1,0)</f>
        <v>0</v>
      </c>
      <c r="L27" s="12">
        <f>IF(J28-M28&gt;84,1,0)</f>
        <v>0</v>
      </c>
      <c r="M27" s="12">
        <f>+L27*122</f>
        <v>0</v>
      </c>
      <c r="O27">
        <v>3</v>
      </c>
      <c r="P27" s="25">
        <f t="shared" ref="P27:P28" si="0">+O27*E27</f>
        <v>449.97</v>
      </c>
      <c r="Q27">
        <f>SUM(P25:P27)</f>
        <v>569.94000000000005</v>
      </c>
      <c r="R27">
        <f>122*O27</f>
        <v>366</v>
      </c>
    </row>
    <row r="28" spans="1:18" x14ac:dyDescent="0.25">
      <c r="A28" t="s">
        <v>18</v>
      </c>
      <c r="B28" t="s">
        <v>65</v>
      </c>
      <c r="C28" s="14">
        <f>+L28</f>
        <v>0</v>
      </c>
      <c r="D28" s="12">
        <f>+E28*C28</f>
        <v>0</v>
      </c>
      <c r="E28" s="15">
        <v>299</v>
      </c>
      <c r="J28" s="24">
        <f>+'Input Openings'!G56</f>
        <v>0</v>
      </c>
      <c r="K28" s="12">
        <f>IF(J28&gt;200,1,0)</f>
        <v>0</v>
      </c>
      <c r="L28" s="12">
        <f>IF(J28&gt;500,2,K28)</f>
        <v>0</v>
      </c>
      <c r="M28" s="12">
        <f>+L28*320</f>
        <v>0</v>
      </c>
      <c r="N28" s="24"/>
      <c r="O28">
        <v>2</v>
      </c>
      <c r="P28" s="25">
        <f t="shared" si="0"/>
        <v>598</v>
      </c>
    </row>
    <row r="29" spans="1:18" ht="14.85" customHeight="1" x14ac:dyDescent="0.25">
      <c r="A29" t="s">
        <v>20</v>
      </c>
      <c r="B29" t="s">
        <v>21</v>
      </c>
      <c r="C29" s="14">
        <f>ROUNDUP(C26/2,0)</f>
        <v>0</v>
      </c>
      <c r="D29" s="12">
        <f>+C29*E29</f>
        <v>0</v>
      </c>
      <c r="E29" s="15">
        <v>19.989999999999998</v>
      </c>
      <c r="G29" s="13">
        <f>IF(C29=0,1,C29)</f>
        <v>1</v>
      </c>
    </row>
    <row r="30" spans="1:18" x14ac:dyDescent="0.25">
      <c r="A30" t="s">
        <v>26</v>
      </c>
      <c r="B30" t="s">
        <v>27</v>
      </c>
      <c r="C30" s="14">
        <f>ROUNDUP('Input Openings'!H56,0)</f>
        <v>0</v>
      </c>
      <c r="D30" s="12">
        <f>+C30*E30</f>
        <v>0</v>
      </c>
      <c r="E30" s="15">
        <v>24.99</v>
      </c>
      <c r="M30" s="12">
        <f>SUM(M26:M29)</f>
        <v>0</v>
      </c>
    </row>
    <row r="31" spans="1:18" ht="13.9" customHeight="1" x14ac:dyDescent="0.25">
      <c r="A31" t="s">
        <v>32</v>
      </c>
      <c r="C31" s="14">
        <f>+H31</f>
        <v>0</v>
      </c>
      <c r="D31" s="12">
        <f>+C31*E31</f>
        <v>0</v>
      </c>
      <c r="E31" s="15">
        <v>49.99</v>
      </c>
      <c r="G31">
        <f>IF('Input Openings'!C54="N",1,0)</f>
        <v>0</v>
      </c>
      <c r="H31">
        <f>+G31</f>
        <v>0</v>
      </c>
    </row>
    <row r="32" spans="1:18" ht="14.85" hidden="1" customHeight="1" x14ac:dyDescent="0.25">
      <c r="A32" t="s">
        <v>33</v>
      </c>
      <c r="B32" t="e">
        <f>IF(#REF!&gt;0,"Y","N")</f>
        <v>#REF!</v>
      </c>
      <c r="C32" s="14" t="e">
        <f>IF(B32="Y",G31,0)</f>
        <v>#REF!</v>
      </c>
      <c r="D32" s="12" t="e">
        <f>+C32*E32</f>
        <v>#REF!</v>
      </c>
      <c r="E32" s="15">
        <v>99.99</v>
      </c>
    </row>
    <row r="34" spans="1:15" x14ac:dyDescent="0.25">
      <c r="A34" t="s">
        <v>22</v>
      </c>
      <c r="D34" s="12">
        <f>SUM(D25:D31)</f>
        <v>0</v>
      </c>
      <c r="O34">
        <v>320</v>
      </c>
    </row>
    <row r="35" spans="1:15" x14ac:dyDescent="0.25">
      <c r="O35">
        <v>122</v>
      </c>
    </row>
    <row r="36" spans="1:15" x14ac:dyDescent="0.25">
      <c r="O36">
        <v>56</v>
      </c>
    </row>
    <row r="37" spans="1:15" ht="18.75" x14ac:dyDescent="0.3">
      <c r="A37" s="23" t="s">
        <v>23</v>
      </c>
    </row>
    <row r="39" spans="1:15" x14ac:dyDescent="0.25">
      <c r="B39" t="s">
        <v>17</v>
      </c>
      <c r="C39" s="14" t="s">
        <v>13</v>
      </c>
      <c r="D39" s="12" t="s">
        <v>15</v>
      </c>
      <c r="E39" s="15" t="s">
        <v>16</v>
      </c>
    </row>
    <row r="40" spans="1:15" x14ac:dyDescent="0.25">
      <c r="A40" t="s">
        <v>19</v>
      </c>
      <c r="B40" t="s">
        <v>14</v>
      </c>
      <c r="E40" s="15">
        <v>19.989999999999998</v>
      </c>
    </row>
    <row r="41" spans="1:15" x14ac:dyDescent="0.25">
      <c r="A41" t="s">
        <v>19</v>
      </c>
      <c r="B41" t="s">
        <v>11</v>
      </c>
      <c r="C41" s="14">
        <f>ROUNDUP(IF(C25&gt;3,C25/3,0),0)</f>
        <v>0</v>
      </c>
      <c r="D41" s="12">
        <f t="shared" ref="D41:D48" si="1">+C41*E41</f>
        <v>0</v>
      </c>
      <c r="E41" s="15">
        <v>49.99</v>
      </c>
    </row>
    <row r="42" spans="1:15" x14ac:dyDescent="0.25">
      <c r="A42" t="s">
        <v>18</v>
      </c>
      <c r="B42" t="s">
        <v>11</v>
      </c>
      <c r="C42" s="14">
        <f>+C26</f>
        <v>0</v>
      </c>
      <c r="D42" s="12">
        <f t="shared" si="1"/>
        <v>0</v>
      </c>
      <c r="E42" s="15">
        <v>39.99</v>
      </c>
    </row>
    <row r="43" spans="1:15" x14ac:dyDescent="0.25">
      <c r="A43" t="s">
        <v>18</v>
      </c>
      <c r="B43" t="s">
        <v>24</v>
      </c>
      <c r="C43" s="14">
        <f t="shared" ref="C43:C44" si="2">+C27</f>
        <v>0</v>
      </c>
      <c r="D43" s="12">
        <f t="shared" si="1"/>
        <v>0</v>
      </c>
      <c r="E43" s="15">
        <v>149.99</v>
      </c>
    </row>
    <row r="44" spans="1:15" x14ac:dyDescent="0.25">
      <c r="A44" t="s">
        <v>64</v>
      </c>
      <c r="B44" t="s">
        <v>65</v>
      </c>
      <c r="C44" s="14">
        <f t="shared" si="2"/>
        <v>0</v>
      </c>
      <c r="D44" s="12">
        <f t="shared" si="1"/>
        <v>0</v>
      </c>
      <c r="E44" s="15">
        <v>299.99</v>
      </c>
    </row>
    <row r="45" spans="1:15" x14ac:dyDescent="0.25">
      <c r="A45" t="s">
        <v>20</v>
      </c>
      <c r="B45" t="s">
        <v>21</v>
      </c>
      <c r="C45" s="14">
        <f>IF(C29&gt;1,0,C29)</f>
        <v>0</v>
      </c>
      <c r="D45" s="12">
        <f t="shared" si="1"/>
        <v>0</v>
      </c>
      <c r="E45" s="15">
        <v>19.989999999999998</v>
      </c>
    </row>
    <row r="46" spans="1:15" x14ac:dyDescent="0.25">
      <c r="A46" t="s">
        <v>20</v>
      </c>
      <c r="B46" t="s">
        <v>25</v>
      </c>
      <c r="C46" s="14">
        <f>IF(C29&gt;1,1,0)</f>
        <v>0</v>
      </c>
      <c r="D46" s="12">
        <f t="shared" si="1"/>
        <v>0</v>
      </c>
      <c r="E46" s="15">
        <v>29.99</v>
      </c>
    </row>
    <row r="47" spans="1:15" x14ac:dyDescent="0.25">
      <c r="A47" t="s">
        <v>26</v>
      </c>
      <c r="B47" t="s">
        <v>27</v>
      </c>
      <c r="C47" s="14">
        <f>+C30</f>
        <v>0</v>
      </c>
      <c r="D47" s="12">
        <f t="shared" si="1"/>
        <v>0</v>
      </c>
      <c r="E47" s="15">
        <v>24.99</v>
      </c>
    </row>
    <row r="48" spans="1:15" x14ac:dyDescent="0.25">
      <c r="A48" t="s">
        <v>32</v>
      </c>
      <c r="C48" s="14">
        <f>+C31</f>
        <v>0</v>
      </c>
      <c r="D48" s="12">
        <f t="shared" si="1"/>
        <v>0</v>
      </c>
      <c r="E48" s="15">
        <v>49.99</v>
      </c>
    </row>
    <row r="50" spans="1:4" x14ac:dyDescent="0.25">
      <c r="A50" t="s">
        <v>22</v>
      </c>
      <c r="D50" s="12">
        <f>SUM(D41:D48)</f>
        <v>0</v>
      </c>
    </row>
  </sheetData>
  <mergeCells count="1">
    <mergeCell ref="C20:D20"/>
  </mergeCells>
  <hyperlinks>
    <hyperlink ref="A20" location="'Input Openings'!A1" display="Return to Input" xr:uid="{D9759F51-0C09-44D0-9A2C-9266AD0E128F}"/>
    <hyperlink ref="E20" r:id="rId1" display="https://flexsealproducts.com/collections/flood-protection" xr:uid="{42455A7B-9F49-4525-9AFF-46EF9E6790F2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1157031C64DF47B781DE3ECE1FC7F8" ma:contentTypeVersion="16" ma:contentTypeDescription="Create a new document." ma:contentTypeScope="" ma:versionID="77e1abc1824a722828b5d412c8866ecd">
  <xsd:schema xmlns:xsd="http://www.w3.org/2001/XMLSchema" xmlns:xs="http://www.w3.org/2001/XMLSchema" xmlns:p="http://schemas.microsoft.com/office/2006/metadata/properties" xmlns:ns2="7382532f-de1d-45ec-8f91-dfa9e53bc924" xmlns:ns3="ddec2071-2f05-4f7e-82f2-7ee544fd1196" targetNamespace="http://schemas.microsoft.com/office/2006/metadata/properties" ma:root="true" ma:fieldsID="ca171ee17cccee8cc77a0c388e19c367" ns2:_="" ns3:_="">
    <xsd:import namespace="7382532f-de1d-45ec-8f91-dfa9e53bc924"/>
    <xsd:import namespace="ddec2071-2f05-4f7e-82f2-7ee544fd1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llow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2532f-de1d-45ec-8f91-dfa9e53bc9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ffe6c7-897e-47b7-bfed-31828d719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lowupDate" ma:index="23" nillable="true" ma:displayName="Followup Date" ma:format="DateOnly" ma:internalName="Followup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ec2071-2f05-4f7e-82f2-7ee544fd1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93f7990-c220-4e36-9e6a-5119cb22deac}" ma:internalName="TaxCatchAll" ma:showField="CatchAllData" ma:web="ddec2071-2f05-4f7e-82f2-7ee544fd1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ec2071-2f05-4f7e-82f2-7ee544fd1196" xsi:nil="true"/>
    <lcf76f155ced4ddcb4097134ff3c332f xmlns="7382532f-de1d-45ec-8f91-dfa9e53bc924">
      <Terms xmlns="http://schemas.microsoft.com/office/infopath/2007/PartnerControls"/>
    </lcf76f155ced4ddcb4097134ff3c332f>
    <FollowupDate xmlns="7382532f-de1d-45ec-8f91-dfa9e53bc924" xsi:nil="true"/>
  </documentManagement>
</p:properties>
</file>

<file path=customXml/itemProps1.xml><?xml version="1.0" encoding="utf-8"?>
<ds:datastoreItem xmlns:ds="http://schemas.openxmlformats.org/officeDocument/2006/customXml" ds:itemID="{6BC5F0FE-7858-401E-87BC-2E537652ABAC}"/>
</file>

<file path=customXml/itemProps2.xml><?xml version="1.0" encoding="utf-8"?>
<ds:datastoreItem xmlns:ds="http://schemas.openxmlformats.org/officeDocument/2006/customXml" ds:itemID="{AA99A958-73C1-4F8C-8CBB-D74C0AD76E5A}"/>
</file>

<file path=customXml/itemProps3.xml><?xml version="1.0" encoding="utf-8"?>
<ds:datastoreItem xmlns:ds="http://schemas.openxmlformats.org/officeDocument/2006/customXml" ds:itemID="{80E49BF2-A86D-4B44-A8B7-1B943A49DE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 Openings</vt:lpstr>
      <vt:lpstr>Recommendation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Bays</dc:creator>
  <cp:lastModifiedBy>Brian Parliment</cp:lastModifiedBy>
  <dcterms:created xsi:type="dcterms:W3CDTF">2025-05-24T19:22:25Z</dcterms:created>
  <dcterms:modified xsi:type="dcterms:W3CDTF">2025-07-08T15:23:20Z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0x010100D21157031C64DF47B781DE3ECE1FC7F8</vt:lpwstr>
  </property>
</Properties>
</file>